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pogoreli21\Documents\3. Financijski plan\Rebalans\Rebalans za 2022\"/>
    </mc:Choice>
  </mc:AlternateContent>
  <xr:revisionPtr revIDLastSave="0" documentId="13_ncr:1_{BB6D3402-0860-4D1B-B6E0-EE189CDDD664}" xr6:coauthVersionLast="36" xr6:coauthVersionMax="47" xr10:uidLastSave="{00000000-0000-0000-0000-000000000000}"/>
  <bookViews>
    <workbookView xWindow="0" yWindow="0" windowWidth="21600" windowHeight="8925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PROJEKATA'!$A$2:$AA$586</definedName>
    <definedName name="_xlnm._FilterDatabase" localSheetId="8" hidden="1">'p4'!$A$1:$B$1042</definedName>
    <definedName name="_xlnm._FilterDatabase" localSheetId="1" hidden="1">'Plan prihoda za unos u SAP'!$Q$5:$U$104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I37" i="4" l="1"/>
  <c r="K95" i="13"/>
  <c r="G96" i="13"/>
  <c r="K85" i="13"/>
  <c r="K83" i="13"/>
  <c r="I272" i="25"/>
  <c r="F85" i="13" l="1"/>
  <c r="G85" i="13"/>
  <c r="H85" i="13"/>
  <c r="I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E85" i="13"/>
  <c r="F83" i="13"/>
  <c r="G83" i="13"/>
  <c r="H83" i="13"/>
  <c r="I83" i="13"/>
  <c r="J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E83" i="13"/>
  <c r="K40" i="17"/>
  <c r="H40" i="17"/>
  <c r="F40" i="17"/>
  <c r="M40" i="17"/>
  <c r="N40" i="17"/>
  <c r="A40" i="17"/>
  <c r="B40" i="17"/>
  <c r="D40" i="17"/>
  <c r="K182" i="17"/>
  <c r="I35" i="4"/>
  <c r="H20" i="4" l="1"/>
  <c r="I267" i="25"/>
  <c r="I268" i="25"/>
  <c r="I269" i="25"/>
  <c r="I270" i="25"/>
  <c r="I271" i="25"/>
  <c r="I264" i="25"/>
  <c r="I265" i="25"/>
  <c r="I266" i="25"/>
  <c r="I255" i="25"/>
  <c r="I256" i="25"/>
  <c r="I257" i="25"/>
  <c r="I258" i="25"/>
  <c r="I259" i="25"/>
  <c r="I260" i="25"/>
  <c r="I261" i="25"/>
  <c r="I262" i="25"/>
  <c r="I263" i="25"/>
  <c r="I254" i="25"/>
  <c r="I242" i="25"/>
  <c r="I243" i="25"/>
  <c r="I244" i="25"/>
  <c r="I245" i="25"/>
  <c r="I246" i="25"/>
  <c r="I247" i="25"/>
  <c r="I248" i="25"/>
  <c r="I249" i="25"/>
  <c r="I250" i="25"/>
  <c r="I251" i="25"/>
  <c r="I252" i="25"/>
  <c r="I253" i="25"/>
  <c r="I236" i="25"/>
  <c r="I237" i="25"/>
  <c r="I238" i="25"/>
  <c r="I239" i="25"/>
  <c r="I240" i="25"/>
  <c r="I241" i="25"/>
  <c r="I226" i="25"/>
  <c r="I227" i="25"/>
  <c r="I228" i="25"/>
  <c r="I229" i="25"/>
  <c r="I230" i="25"/>
  <c r="I231" i="25"/>
  <c r="I232" i="25"/>
  <c r="I233" i="25"/>
  <c r="I234" i="25"/>
  <c r="I235" i="25"/>
  <c r="I219" i="25"/>
  <c r="I220" i="25"/>
  <c r="I221" i="25"/>
  <c r="I222" i="25"/>
  <c r="I223" i="25"/>
  <c r="I224" i="25"/>
  <c r="I225" i="25"/>
  <c r="I214" i="25"/>
  <c r="I215" i="25"/>
  <c r="I216" i="25"/>
  <c r="I217" i="25"/>
  <c r="I218" i="25"/>
  <c r="I212" i="25"/>
  <c r="I213" i="25"/>
  <c r="I207" i="25"/>
  <c r="I208" i="25"/>
  <c r="I209" i="25"/>
  <c r="I210" i="25"/>
  <c r="I211" i="25"/>
  <c r="I204" i="25"/>
  <c r="I205" i="25"/>
  <c r="I206" i="25"/>
  <c r="B205" i="25"/>
  <c r="B206" i="25"/>
  <c r="I200" i="25"/>
  <c r="I201" i="25"/>
  <c r="I202" i="25"/>
  <c r="I203" i="25"/>
  <c r="I188" i="25"/>
  <c r="I189" i="25"/>
  <c r="I190" i="25"/>
  <c r="I191" i="25"/>
  <c r="I192" i="25"/>
  <c r="I193" i="25"/>
  <c r="I194" i="25"/>
  <c r="I195" i="25"/>
  <c r="I196" i="25"/>
  <c r="I197" i="25"/>
  <c r="I198" i="25"/>
  <c r="I199" i="25"/>
  <c r="I185" i="25"/>
  <c r="F185" i="25"/>
  <c r="D185" i="25"/>
  <c r="K185" i="25"/>
  <c r="L185" i="25"/>
  <c r="B185" i="25"/>
  <c r="I166" i="25"/>
  <c r="I167" i="25"/>
  <c r="I168" i="25"/>
  <c r="I169" i="25"/>
  <c r="I170" i="25"/>
  <c r="I171" i="25"/>
  <c r="I172" i="25"/>
  <c r="I173" i="25"/>
  <c r="F173" i="25"/>
  <c r="F172" i="25"/>
  <c r="F171" i="25"/>
  <c r="F170" i="25"/>
  <c r="F169" i="25"/>
  <c r="F168" i="25"/>
  <c r="F167" i="25"/>
  <c r="F166" i="25"/>
  <c r="B166" i="25"/>
  <c r="B167" i="25"/>
  <c r="B168" i="25"/>
  <c r="B169" i="25"/>
  <c r="B170" i="25"/>
  <c r="B171" i="25"/>
  <c r="B172" i="25"/>
  <c r="B173" i="25"/>
  <c r="I183" i="25"/>
  <c r="I181" i="25"/>
  <c r="I180" i="25"/>
  <c r="I179" i="25"/>
  <c r="I178" i="25"/>
  <c r="I177" i="25"/>
  <c r="I176" i="25"/>
  <c r="I175" i="25"/>
  <c r="I174" i="25"/>
  <c r="F183" i="25"/>
  <c r="F181" i="25"/>
  <c r="F180" i="25"/>
  <c r="F179" i="25"/>
  <c r="F178" i="25"/>
  <c r="F177" i="25"/>
  <c r="F176" i="25"/>
  <c r="F175" i="25"/>
  <c r="F174" i="25"/>
  <c r="B176" i="25"/>
  <c r="B177" i="25"/>
  <c r="B178" i="25"/>
  <c r="B179" i="25"/>
  <c r="B180" i="25"/>
  <c r="B181" i="25"/>
  <c r="B182" i="25"/>
  <c r="B183" i="25"/>
  <c r="D183" i="25"/>
  <c r="K183" i="25"/>
  <c r="L183" i="25"/>
  <c r="D181" i="25"/>
  <c r="K181" i="25"/>
  <c r="L181" i="25"/>
  <c r="D180" i="25"/>
  <c r="K180" i="25"/>
  <c r="L180" i="25"/>
  <c r="D179" i="25"/>
  <c r="K179" i="25"/>
  <c r="L179" i="25"/>
  <c r="D178" i="25"/>
  <c r="K178" i="25"/>
  <c r="L178" i="25"/>
  <c r="D177" i="25"/>
  <c r="K177" i="25"/>
  <c r="L177" i="25"/>
  <c r="D176" i="25"/>
  <c r="K176" i="25"/>
  <c r="L176" i="25"/>
  <c r="B175" i="25"/>
  <c r="D175" i="25"/>
  <c r="K175" i="25"/>
  <c r="L175" i="25"/>
  <c r="D174" i="25"/>
  <c r="K174" i="25"/>
  <c r="L174" i="25"/>
  <c r="B174" i="25"/>
  <c r="I161" i="25"/>
  <c r="I159" i="25"/>
  <c r="I158" i="25"/>
  <c r="I156" i="25"/>
  <c r="I155" i="25"/>
  <c r="I154" i="25"/>
  <c r="I153" i="25"/>
  <c r="I151" i="25"/>
  <c r="I148" i="25"/>
  <c r="F160" i="25"/>
  <c r="F159" i="25"/>
  <c r="F158" i="25"/>
  <c r="F157" i="25"/>
  <c r="F156" i="25"/>
  <c r="F155" i="25"/>
  <c r="F154" i="25"/>
  <c r="F153" i="25"/>
  <c r="F152" i="25"/>
  <c r="F151" i="25"/>
  <c r="F150" i="25"/>
  <c r="F148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D154" i="25"/>
  <c r="K154" i="25"/>
  <c r="L154" i="25"/>
  <c r="D153" i="25"/>
  <c r="K153" i="25"/>
  <c r="L153" i="25"/>
  <c r="D151" i="25"/>
  <c r="K151" i="25"/>
  <c r="L151" i="25"/>
  <c r="D148" i="25"/>
  <c r="K148" i="25"/>
  <c r="L148" i="25"/>
  <c r="F143" i="25"/>
  <c r="F142" i="25"/>
  <c r="F141" i="25"/>
  <c r="F140" i="25"/>
  <c r="B143" i="25"/>
  <c r="B142" i="25"/>
  <c r="B141" i="25"/>
  <c r="B140" i="25"/>
  <c r="B139" i="25"/>
  <c r="I142" i="25"/>
  <c r="I141" i="25"/>
  <c r="I140" i="25"/>
  <c r="D142" i="25"/>
  <c r="K142" i="25"/>
  <c r="L142" i="25"/>
  <c r="D141" i="25"/>
  <c r="K141" i="25"/>
  <c r="L141" i="25"/>
  <c r="D140" i="25"/>
  <c r="K140" i="25"/>
  <c r="L140" i="25"/>
  <c r="I121" i="25"/>
  <c r="I122" i="25"/>
  <c r="I123" i="25"/>
  <c r="I124" i="25"/>
  <c r="I125" i="25"/>
  <c r="I126" i="25"/>
  <c r="I127" i="25"/>
  <c r="I128" i="25"/>
  <c r="I120" i="25"/>
  <c r="F128" i="25"/>
  <c r="F127" i="25"/>
  <c r="F126" i="25"/>
  <c r="F125" i="25"/>
  <c r="F124" i="25"/>
  <c r="F123" i="25"/>
  <c r="F122" i="25"/>
  <c r="F121" i="25"/>
  <c r="F120" i="25"/>
  <c r="B128" i="25"/>
  <c r="B127" i="25"/>
  <c r="B126" i="25"/>
  <c r="B125" i="25"/>
  <c r="B124" i="25"/>
  <c r="B123" i="25"/>
  <c r="B122" i="25"/>
  <c r="B121" i="25"/>
  <c r="B120" i="25"/>
  <c r="I117" i="25"/>
  <c r="I116" i="25"/>
  <c r="I115" i="25"/>
  <c r="I114" i="25"/>
  <c r="F117" i="25"/>
  <c r="F116" i="25"/>
  <c r="F115" i="25"/>
  <c r="F114" i="25"/>
  <c r="B117" i="25"/>
  <c r="B116" i="25"/>
  <c r="B115" i="25"/>
  <c r="B114" i="25"/>
  <c r="F108" i="25"/>
  <c r="F107" i="25"/>
  <c r="F106" i="25"/>
  <c r="F105" i="25"/>
  <c r="F104" i="25"/>
  <c r="F103" i="25"/>
  <c r="F102" i="25"/>
  <c r="F101" i="25"/>
  <c r="F100" i="25"/>
  <c r="F99" i="25"/>
  <c r="B108" i="25"/>
  <c r="B107" i="25"/>
  <c r="B106" i="25"/>
  <c r="B105" i="25"/>
  <c r="B104" i="25"/>
  <c r="B103" i="25"/>
  <c r="B102" i="25"/>
  <c r="B101" i="25"/>
  <c r="B100" i="25"/>
  <c r="B99" i="25"/>
  <c r="I108" i="25"/>
  <c r="I107" i="25"/>
  <c r="I106" i="25"/>
  <c r="I103" i="25"/>
  <c r="I99" i="25"/>
  <c r="D108" i="25"/>
  <c r="K108" i="25"/>
  <c r="L108" i="25"/>
  <c r="D107" i="25"/>
  <c r="K107" i="25"/>
  <c r="L107" i="25"/>
  <c r="D106" i="25"/>
  <c r="K106" i="25"/>
  <c r="L106" i="25"/>
  <c r="D99" i="25"/>
  <c r="K99" i="25"/>
  <c r="L99" i="25"/>
  <c r="I97" i="25"/>
  <c r="I96" i="25"/>
  <c r="B97" i="25"/>
  <c r="B96" i="25"/>
  <c r="F97" i="25"/>
  <c r="F96" i="25"/>
  <c r="D97" i="25"/>
  <c r="K97" i="25"/>
  <c r="L97" i="25"/>
  <c r="D96" i="25"/>
  <c r="K96" i="25"/>
  <c r="L96" i="25"/>
  <c r="I91" i="25"/>
  <c r="I85" i="25"/>
  <c r="I90" i="25"/>
  <c r="I89" i="25"/>
  <c r="I88" i="25"/>
  <c r="I87" i="25"/>
  <c r="I86" i="25"/>
  <c r="I83" i="25"/>
  <c r="I82" i="25"/>
  <c r="I81" i="25"/>
  <c r="I79" i="25"/>
  <c r="I78" i="25"/>
  <c r="F91" i="25"/>
  <c r="F90" i="25"/>
  <c r="F89" i="25"/>
  <c r="F88" i="25"/>
  <c r="F87" i="25"/>
  <c r="F86" i="25"/>
  <c r="F85" i="25"/>
  <c r="F84" i="25"/>
  <c r="F83" i="25"/>
  <c r="F82" i="25"/>
  <c r="F81" i="25"/>
  <c r="F80" i="25"/>
  <c r="F79" i="25"/>
  <c r="F78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I71" i="25"/>
  <c r="I76" i="25"/>
  <c r="I75" i="25"/>
  <c r="I74" i="25"/>
  <c r="I73" i="25"/>
  <c r="I72" i="25"/>
  <c r="I70" i="25"/>
  <c r="I69" i="25"/>
  <c r="I67" i="25"/>
  <c r="I66" i="25"/>
  <c r="I65" i="25"/>
  <c r="I63" i="25"/>
  <c r="I62" i="25"/>
  <c r="D67" i="25"/>
  <c r="K67" i="25"/>
  <c r="L67" i="25"/>
  <c r="D66" i="25"/>
  <c r="K66" i="25"/>
  <c r="L66" i="25"/>
  <c r="D65" i="25"/>
  <c r="K65" i="25"/>
  <c r="L65" i="25"/>
  <c r="D62" i="25"/>
  <c r="K62" i="25"/>
  <c r="L62" i="25"/>
  <c r="I59" i="25"/>
  <c r="I57" i="25" l="1"/>
  <c r="F57" i="25"/>
  <c r="F58" i="25"/>
  <c r="F59" i="25"/>
  <c r="F49" i="25"/>
  <c r="B59" i="25"/>
  <c r="B57" i="25"/>
  <c r="B49" i="25"/>
  <c r="D59" i="25"/>
  <c r="K59" i="25"/>
  <c r="L59" i="25"/>
  <c r="D57" i="25"/>
  <c r="K57" i="25"/>
  <c r="L57" i="25"/>
  <c r="D49" i="25"/>
  <c r="K49" i="25"/>
  <c r="L49" i="25"/>
  <c r="I47" i="25"/>
  <c r="I56" i="25"/>
  <c r="I55" i="25"/>
  <c r="I54" i="25"/>
  <c r="I52" i="25"/>
  <c r="I50" i="25"/>
  <c r="F50" i="25"/>
  <c r="F51" i="25"/>
  <c r="F52" i="25"/>
  <c r="F53" i="25"/>
  <c r="F54" i="25"/>
  <c r="F55" i="25"/>
  <c r="F56" i="25"/>
  <c r="B50" i="25"/>
  <c r="B51" i="25"/>
  <c r="B52" i="25"/>
  <c r="B53" i="25"/>
  <c r="B54" i="25"/>
  <c r="B55" i="25"/>
  <c r="B56" i="25"/>
  <c r="D56" i="25"/>
  <c r="K56" i="25"/>
  <c r="L56" i="25"/>
  <c r="D55" i="25"/>
  <c r="K55" i="25"/>
  <c r="L55" i="25"/>
  <c r="D54" i="25"/>
  <c r="K54" i="25"/>
  <c r="L54" i="25"/>
  <c r="D52" i="25"/>
  <c r="K52" i="25"/>
  <c r="L52" i="25"/>
  <c r="D50" i="25"/>
  <c r="K50" i="25"/>
  <c r="L50" i="25"/>
  <c r="I35" i="25"/>
  <c r="I40" i="25"/>
  <c r="I43" i="25"/>
  <c r="I42" i="25"/>
  <c r="I41" i="25"/>
  <c r="F41" i="25"/>
  <c r="F42" i="25"/>
  <c r="F43" i="25"/>
  <c r="B41" i="25"/>
  <c r="B42" i="25"/>
  <c r="B43" i="25"/>
  <c r="D43" i="25"/>
  <c r="K43" i="25"/>
  <c r="L43" i="25"/>
  <c r="D42" i="25"/>
  <c r="K42" i="25"/>
  <c r="L42" i="25"/>
  <c r="D41" i="25"/>
  <c r="K41" i="25"/>
  <c r="L41" i="25"/>
  <c r="I38" i="25"/>
  <c r="F38" i="25"/>
  <c r="B38" i="25"/>
  <c r="D38" i="25"/>
  <c r="K38" i="25"/>
  <c r="L38" i="25"/>
  <c r="I28" i="25"/>
  <c r="I31" i="25"/>
  <c r="I26" i="25"/>
  <c r="I27" i="25"/>
  <c r="I29" i="25"/>
  <c r="I30" i="25"/>
  <c r="I25" i="25"/>
  <c r="I14" i="25"/>
  <c r="I15" i="25"/>
  <c r="I16" i="25"/>
  <c r="I17" i="25"/>
  <c r="I18" i="25"/>
  <c r="I19" i="25"/>
  <c r="I20" i="25"/>
  <c r="I21" i="25"/>
  <c r="I22" i="25"/>
  <c r="I13" i="25"/>
  <c r="F11" i="25"/>
  <c r="B11" i="25"/>
  <c r="I11" i="25"/>
  <c r="D11" i="25"/>
  <c r="K11" i="25"/>
  <c r="L11" i="25"/>
  <c r="I4" i="25"/>
  <c r="F4" i="25"/>
  <c r="B4" i="25"/>
  <c r="F172" i="17" l="1"/>
  <c r="F171" i="17"/>
  <c r="F170" i="17"/>
  <c r="F169" i="17"/>
  <c r="F168" i="17"/>
  <c r="F167" i="17"/>
  <c r="F166" i="17"/>
  <c r="F165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A149" i="17"/>
  <c r="B149" i="17"/>
  <c r="A150" i="17"/>
  <c r="B150" i="17"/>
  <c r="A151" i="17"/>
  <c r="B151" i="17"/>
  <c r="A152" i="17"/>
  <c r="B152" i="17"/>
  <c r="A153" i="17"/>
  <c r="B153" i="17"/>
  <c r="A154" i="17"/>
  <c r="B154" i="17"/>
  <c r="A155" i="17"/>
  <c r="B155" i="17"/>
  <c r="A156" i="17"/>
  <c r="B156" i="17"/>
  <c r="A157" i="17"/>
  <c r="B157" i="17"/>
  <c r="A158" i="17"/>
  <c r="B158" i="17"/>
  <c r="A159" i="17"/>
  <c r="B159" i="17"/>
  <c r="A160" i="17"/>
  <c r="B160" i="17"/>
  <c r="A162" i="17"/>
  <c r="B162" i="17"/>
  <c r="A163" i="17"/>
  <c r="B163" i="17"/>
  <c r="A164" i="17"/>
  <c r="B164" i="17"/>
  <c r="A165" i="17"/>
  <c r="B165" i="17"/>
  <c r="A166" i="17"/>
  <c r="B166" i="17"/>
  <c r="A167" i="17"/>
  <c r="B167" i="17"/>
  <c r="A168" i="17"/>
  <c r="B168" i="17"/>
  <c r="A169" i="17"/>
  <c r="B169" i="17"/>
  <c r="A170" i="17"/>
  <c r="B170" i="17"/>
  <c r="A171" i="17"/>
  <c r="B171" i="17"/>
  <c r="A172" i="17"/>
  <c r="B172" i="17"/>
  <c r="K165" i="17"/>
  <c r="K166" i="17"/>
  <c r="K167" i="17"/>
  <c r="K168" i="17"/>
  <c r="K169" i="17"/>
  <c r="K170" i="17"/>
  <c r="K171" i="17"/>
  <c r="K172" i="17"/>
  <c r="K164" i="17"/>
  <c r="F164" i="17"/>
  <c r="M164" i="17"/>
  <c r="N164" i="17"/>
  <c r="K162" i="17"/>
  <c r="K163" i="17"/>
  <c r="F163" i="17"/>
  <c r="M163" i="17"/>
  <c r="N163" i="17"/>
  <c r="F162" i="17"/>
  <c r="M162" i="17"/>
  <c r="N162" i="17"/>
  <c r="K160" i="17"/>
  <c r="K161" i="17"/>
  <c r="F160" i="17"/>
  <c r="M160" i="17"/>
  <c r="N160" i="17"/>
  <c r="K159" i="17"/>
  <c r="F159" i="17"/>
  <c r="M159" i="17"/>
  <c r="N159" i="17"/>
  <c r="K157" i="17"/>
  <c r="F157" i="17"/>
  <c r="M157" i="17"/>
  <c r="N157" i="17"/>
  <c r="K150" i="17"/>
  <c r="K151" i="17"/>
  <c r="K152" i="17"/>
  <c r="K153" i="17"/>
  <c r="K154" i="17"/>
  <c r="K155" i="17"/>
  <c r="K156" i="17"/>
  <c r="F154" i="17"/>
  <c r="M154" i="17"/>
  <c r="N154" i="17"/>
  <c r="F152" i="17"/>
  <c r="M152" i="17"/>
  <c r="N152" i="17"/>
  <c r="F150" i="17"/>
  <c r="M150" i="17"/>
  <c r="N150" i="17"/>
  <c r="K149" i="17"/>
  <c r="M149" i="17"/>
  <c r="N149" i="17"/>
  <c r="F149" i="17"/>
  <c r="K139" i="17"/>
  <c r="K130" i="17"/>
  <c r="K129" i="17"/>
  <c r="A145" i="17"/>
  <c r="B145" i="17"/>
  <c r="D145" i="17"/>
  <c r="F139" i="17"/>
  <c r="M139" i="17"/>
  <c r="N139" i="17"/>
  <c r="F130" i="17"/>
  <c r="M130" i="17"/>
  <c r="N130" i="17"/>
  <c r="F129" i="17"/>
  <c r="M129" i="17"/>
  <c r="N129" i="17"/>
  <c r="D95" i="17"/>
  <c r="B95" i="17"/>
  <c r="D94" i="17"/>
  <c r="B94" i="17"/>
  <c r="K95" i="17"/>
  <c r="K94" i="17"/>
  <c r="K89" i="17"/>
  <c r="K88" i="17"/>
  <c r="K86" i="17"/>
  <c r="K84" i="17"/>
  <c r="K83" i="17"/>
  <c r="K81" i="17"/>
  <c r="K79" i="17"/>
  <c r="K78" i="17"/>
  <c r="K74" i="17"/>
  <c r="F95" i="17"/>
  <c r="M95" i="17"/>
  <c r="N95" i="17"/>
  <c r="F94" i="17"/>
  <c r="M94" i="17"/>
  <c r="N94" i="17"/>
  <c r="F89" i="17"/>
  <c r="M89" i="17"/>
  <c r="N89" i="17"/>
  <c r="F88" i="17"/>
  <c r="M88" i="17"/>
  <c r="N88" i="17"/>
  <c r="F86" i="17"/>
  <c r="M86" i="17"/>
  <c r="N86" i="17"/>
  <c r="F84" i="17"/>
  <c r="M84" i="17"/>
  <c r="N84" i="17"/>
  <c r="F83" i="17"/>
  <c r="M83" i="17"/>
  <c r="N83" i="17"/>
  <c r="F81" i="17"/>
  <c r="M81" i="17"/>
  <c r="N81" i="17"/>
  <c r="F79" i="17"/>
  <c r="M79" i="17"/>
  <c r="N79" i="17"/>
  <c r="F78" i="17"/>
  <c r="M78" i="17"/>
  <c r="N78" i="17"/>
  <c r="F74" i="17"/>
  <c r="M74" i="17"/>
  <c r="N74" i="17"/>
  <c r="K48" i="17"/>
  <c r="F48" i="17"/>
  <c r="M48" i="17"/>
  <c r="N48" i="17"/>
  <c r="D48" i="17"/>
  <c r="I12" i="25" l="1"/>
  <c r="I23" i="25"/>
  <c r="I24" i="25"/>
  <c r="I32" i="25"/>
  <c r="I33" i="25"/>
  <c r="I34" i="25"/>
  <c r="I36" i="25"/>
  <c r="I37" i="25"/>
  <c r="I39" i="25"/>
  <c r="I44" i="25"/>
  <c r="I45" i="25"/>
  <c r="I46" i="25"/>
  <c r="I48" i="25"/>
  <c r="I51" i="25"/>
  <c r="I53" i="25"/>
  <c r="I58" i="25"/>
  <c r="I60" i="25"/>
  <c r="I61" i="25"/>
  <c r="I64" i="25"/>
  <c r="I68" i="25"/>
  <c r="I77" i="25"/>
  <c r="I80" i="25"/>
  <c r="I84" i="25"/>
  <c r="I92" i="25"/>
  <c r="I93" i="25"/>
  <c r="I94" i="25"/>
  <c r="I95" i="25"/>
  <c r="I98" i="25"/>
  <c r="I100" i="25"/>
  <c r="I101" i="25"/>
  <c r="I102" i="25"/>
  <c r="I104" i="25"/>
  <c r="I105" i="25"/>
  <c r="I109" i="25"/>
  <c r="I110" i="25"/>
  <c r="I111" i="25"/>
  <c r="I112" i="25"/>
  <c r="I113" i="25"/>
  <c r="I118" i="25"/>
  <c r="I119" i="25"/>
  <c r="I129" i="25"/>
  <c r="I130" i="25"/>
  <c r="I131" i="25"/>
  <c r="I132" i="25"/>
  <c r="I133" i="25"/>
  <c r="I134" i="25"/>
  <c r="I135" i="25"/>
  <c r="I136" i="25"/>
  <c r="I137" i="25"/>
  <c r="I138" i="25"/>
  <c r="I139" i="25"/>
  <c r="I143" i="25"/>
  <c r="I144" i="25"/>
  <c r="I145" i="25"/>
  <c r="I146" i="25"/>
  <c r="I147" i="25"/>
  <c r="I149" i="25"/>
  <c r="I150" i="25"/>
  <c r="I152" i="25"/>
  <c r="I157" i="25"/>
  <c r="I160" i="25"/>
  <c r="I162" i="25"/>
  <c r="I163" i="25"/>
  <c r="I164" i="25"/>
  <c r="I165" i="25"/>
  <c r="I182" i="25"/>
  <c r="I184" i="25"/>
  <c r="I186" i="25"/>
  <c r="I187" i="25"/>
  <c r="I3" i="25"/>
  <c r="I5" i="25"/>
  <c r="I6" i="25"/>
  <c r="I7" i="25"/>
  <c r="I8" i="25"/>
  <c r="I9" i="25"/>
  <c r="I10" i="25"/>
  <c r="K12" i="17"/>
  <c r="K13" i="17"/>
  <c r="K14" i="17"/>
  <c r="K15" i="17"/>
  <c r="K16" i="17"/>
  <c r="K17" i="17"/>
  <c r="K18" i="17"/>
  <c r="K19" i="17"/>
  <c r="K20" i="17"/>
  <c r="K21" i="17"/>
  <c r="K22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1" i="17"/>
  <c r="K42" i="17"/>
  <c r="K43" i="17"/>
  <c r="K45" i="17"/>
  <c r="K47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5" i="17"/>
  <c r="K76" i="17"/>
  <c r="K77" i="17"/>
  <c r="K80" i="17"/>
  <c r="K82" i="17"/>
  <c r="K85" i="17"/>
  <c r="K87" i="17"/>
  <c r="K90" i="17"/>
  <c r="K91" i="17"/>
  <c r="K92" i="17"/>
  <c r="K93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4" i="17"/>
  <c r="K125" i="17"/>
  <c r="K126" i="17"/>
  <c r="K127" i="17"/>
  <c r="K128" i="17"/>
  <c r="K131" i="17"/>
  <c r="K132" i="17"/>
  <c r="K133" i="17"/>
  <c r="K134" i="17"/>
  <c r="K135" i="17"/>
  <c r="K136" i="17"/>
  <c r="K137" i="17"/>
  <c r="K138" i="17"/>
  <c r="K140" i="17"/>
  <c r="K141" i="17"/>
  <c r="K142" i="17"/>
  <c r="K143" i="17"/>
  <c r="K144" i="17"/>
  <c r="K146" i="17"/>
  <c r="K147" i="17"/>
  <c r="K148" i="17"/>
  <c r="K174" i="17"/>
  <c r="K175" i="17"/>
  <c r="K176" i="17"/>
  <c r="K177" i="17"/>
  <c r="K178" i="17"/>
  <c r="K180" i="17"/>
  <c r="K158" i="17"/>
  <c r="K3" i="17"/>
  <c r="K4" i="17"/>
  <c r="K5" i="17"/>
  <c r="K6" i="17"/>
  <c r="K7" i="17"/>
  <c r="K8" i="17"/>
  <c r="K9" i="17"/>
  <c r="K10" i="17"/>
  <c r="I33" i="4"/>
  <c r="I7" i="4"/>
  <c r="I8" i="4"/>
  <c r="I9" i="4"/>
  <c r="I11" i="4"/>
  <c r="I13" i="4"/>
  <c r="I15" i="4"/>
  <c r="I16" i="4"/>
  <c r="I17" i="4"/>
  <c r="I18" i="4"/>
  <c r="I19" i="4"/>
  <c r="I20" i="4"/>
  <c r="I22" i="4"/>
  <c r="I23" i="4"/>
  <c r="I24" i="4"/>
  <c r="I25" i="4"/>
  <c r="I27" i="4"/>
  <c r="I28" i="4"/>
  <c r="I30" i="4"/>
  <c r="I31" i="4"/>
  <c r="I3" i="4"/>
  <c r="I4" i="4"/>
  <c r="I5" i="4"/>
  <c r="K7" i="13" l="1"/>
  <c r="I23" i="17" l="1"/>
  <c r="K23" i="17" s="1"/>
  <c r="G15" i="4" l="1"/>
  <c r="G17" i="4"/>
  <c r="F500" i="4" l="1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F34" i="4"/>
  <c r="D34" i="4"/>
  <c r="C34" i="4"/>
  <c r="B34" i="4"/>
  <c r="A34" i="4"/>
  <c r="F33" i="4"/>
  <c r="D33" i="4"/>
  <c r="C33" i="4"/>
  <c r="F32" i="4"/>
  <c r="D32" i="4"/>
  <c r="C32" i="4"/>
  <c r="B32" i="4"/>
  <c r="A32" i="4"/>
  <c r="F31" i="4"/>
  <c r="D31" i="4"/>
  <c r="C31" i="4"/>
  <c r="F30" i="4"/>
  <c r="D30" i="4"/>
  <c r="C30" i="4"/>
  <c r="F29" i="4"/>
  <c r="D29" i="4"/>
  <c r="C29" i="4"/>
  <c r="B29" i="4"/>
  <c r="A29" i="4"/>
  <c r="F28" i="4"/>
  <c r="D28" i="4"/>
  <c r="C28" i="4"/>
  <c r="F27" i="4"/>
  <c r="D27" i="4"/>
  <c r="C27" i="4"/>
  <c r="F26" i="4"/>
  <c r="D26" i="4"/>
  <c r="C26" i="4"/>
  <c r="B26" i="4"/>
  <c r="A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B21" i="4"/>
  <c r="A21" i="4"/>
  <c r="F20" i="4"/>
  <c r="D20" i="4"/>
  <c r="C20" i="4"/>
  <c r="F19" i="4"/>
  <c r="D19" i="4"/>
  <c r="C19" i="4"/>
  <c r="F17" i="4"/>
  <c r="D17" i="4"/>
  <c r="C17" i="4"/>
  <c r="F16" i="4"/>
  <c r="D16" i="4"/>
  <c r="C16" i="4"/>
  <c r="F15" i="4"/>
  <c r="D15" i="4"/>
  <c r="C15" i="4"/>
  <c r="F14" i="4"/>
  <c r="D14" i="4"/>
  <c r="C14" i="4"/>
  <c r="B14" i="4"/>
  <c r="A14" i="4"/>
  <c r="F13" i="4"/>
  <c r="D13" i="4"/>
  <c r="C13" i="4"/>
  <c r="F12" i="4"/>
  <c r="D12" i="4"/>
  <c r="C12" i="4"/>
  <c r="B12" i="4"/>
  <c r="A12" i="4"/>
  <c r="F11" i="4"/>
  <c r="D11" i="4"/>
  <c r="C11" i="4"/>
  <c r="F10" i="4"/>
  <c r="D10" i="4"/>
  <c r="C10" i="4"/>
  <c r="B10" i="4"/>
  <c r="A10" i="4"/>
  <c r="F9" i="4"/>
  <c r="D9" i="4"/>
  <c r="C9" i="4"/>
  <c r="F8" i="4"/>
  <c r="D8" i="4"/>
  <c r="C8" i="4"/>
  <c r="F7" i="4"/>
  <c r="D7" i="4"/>
  <c r="C7" i="4"/>
  <c r="F6" i="4"/>
  <c r="D6" i="4"/>
  <c r="C6" i="4"/>
  <c r="B6" i="4"/>
  <c r="A6" i="4"/>
  <c r="F5" i="4"/>
  <c r="D5" i="4"/>
  <c r="C5" i="4"/>
  <c r="F4" i="4"/>
  <c r="D4" i="4"/>
  <c r="C4" i="4"/>
  <c r="F3" i="4"/>
  <c r="D3" i="4"/>
  <c r="C3" i="4"/>
  <c r="F586" i="25"/>
  <c r="D586" i="25"/>
  <c r="B586" i="25"/>
  <c r="F585" i="25"/>
  <c r="D585" i="25"/>
  <c r="B585" i="25"/>
  <c r="F584" i="25"/>
  <c r="D584" i="25"/>
  <c r="B584" i="25"/>
  <c r="F583" i="25"/>
  <c r="D583" i="25"/>
  <c r="B583" i="25"/>
  <c r="F582" i="25"/>
  <c r="D582" i="25"/>
  <c r="B582" i="25"/>
  <c r="F581" i="25"/>
  <c r="D581" i="25"/>
  <c r="B581" i="25"/>
  <c r="F580" i="25"/>
  <c r="D580" i="25"/>
  <c r="B580" i="25"/>
  <c r="F579" i="25"/>
  <c r="D579" i="25"/>
  <c r="B579" i="25"/>
  <c r="F578" i="25"/>
  <c r="D578" i="25"/>
  <c r="B578" i="25"/>
  <c r="F577" i="25"/>
  <c r="D577" i="25"/>
  <c r="B577" i="25"/>
  <c r="F576" i="25"/>
  <c r="D576" i="25"/>
  <c r="B576" i="25"/>
  <c r="F575" i="25"/>
  <c r="D575" i="25"/>
  <c r="B575" i="25"/>
  <c r="F574" i="25"/>
  <c r="D574" i="25"/>
  <c r="B574" i="25"/>
  <c r="F573" i="25"/>
  <c r="D573" i="25"/>
  <c r="B573" i="25"/>
  <c r="F572" i="25"/>
  <c r="D572" i="25"/>
  <c r="B572" i="25"/>
  <c r="F571" i="25"/>
  <c r="D571" i="25"/>
  <c r="B571" i="25"/>
  <c r="F570" i="25"/>
  <c r="D570" i="25"/>
  <c r="B570" i="25"/>
  <c r="F569" i="25"/>
  <c r="D569" i="25"/>
  <c r="B569" i="25"/>
  <c r="F568" i="25"/>
  <c r="D568" i="25"/>
  <c r="B568" i="25"/>
  <c r="F567" i="25"/>
  <c r="D567" i="25"/>
  <c r="B567" i="25"/>
  <c r="F566" i="25"/>
  <c r="D566" i="25"/>
  <c r="B566" i="25"/>
  <c r="F565" i="25"/>
  <c r="D565" i="25"/>
  <c r="B565" i="25"/>
  <c r="F564" i="25"/>
  <c r="D564" i="25"/>
  <c r="B564" i="25"/>
  <c r="F563" i="25"/>
  <c r="D563" i="25"/>
  <c r="B563" i="25"/>
  <c r="F562" i="25"/>
  <c r="D562" i="25"/>
  <c r="B562" i="25"/>
  <c r="F561" i="25"/>
  <c r="D561" i="25"/>
  <c r="B561" i="25"/>
  <c r="F560" i="25"/>
  <c r="D560" i="25"/>
  <c r="B560" i="25"/>
  <c r="F559" i="25"/>
  <c r="D559" i="25"/>
  <c r="B559" i="25"/>
  <c r="F558" i="25"/>
  <c r="D558" i="25"/>
  <c r="B558" i="25"/>
  <c r="F557" i="25"/>
  <c r="D557" i="25"/>
  <c r="B557" i="25"/>
  <c r="F556" i="25"/>
  <c r="D556" i="25"/>
  <c r="B556" i="25"/>
  <c r="F555" i="25"/>
  <c r="D555" i="25"/>
  <c r="B555" i="25"/>
  <c r="F554" i="25"/>
  <c r="D554" i="25"/>
  <c r="B554" i="25"/>
  <c r="F553" i="25"/>
  <c r="D553" i="25"/>
  <c r="B553" i="25"/>
  <c r="F552" i="25"/>
  <c r="D552" i="25"/>
  <c r="B552" i="25"/>
  <c r="F551" i="25"/>
  <c r="D551" i="25"/>
  <c r="B551" i="25"/>
  <c r="F550" i="25"/>
  <c r="D550" i="25"/>
  <c r="B550" i="25"/>
  <c r="F549" i="25"/>
  <c r="D549" i="25"/>
  <c r="B549" i="25"/>
  <c r="F548" i="25"/>
  <c r="D548" i="25"/>
  <c r="B548" i="25"/>
  <c r="F547" i="25"/>
  <c r="D547" i="25"/>
  <c r="B547" i="25"/>
  <c r="F546" i="25"/>
  <c r="D546" i="25"/>
  <c r="B546" i="25"/>
  <c r="F545" i="25"/>
  <c r="D545" i="25"/>
  <c r="B545" i="25"/>
  <c r="F544" i="25"/>
  <c r="D544" i="25"/>
  <c r="B544" i="25"/>
  <c r="F543" i="25"/>
  <c r="D543" i="25"/>
  <c r="B543" i="25"/>
  <c r="F542" i="25"/>
  <c r="D542" i="25"/>
  <c r="B542" i="25"/>
  <c r="F541" i="25"/>
  <c r="D541" i="25"/>
  <c r="B541" i="25"/>
  <c r="F540" i="25"/>
  <c r="D540" i="25"/>
  <c r="B540" i="25"/>
  <c r="F539" i="25"/>
  <c r="D539" i="25"/>
  <c r="B539" i="25"/>
  <c r="F538" i="25"/>
  <c r="D538" i="25"/>
  <c r="B538" i="25"/>
  <c r="F537" i="25"/>
  <c r="D537" i="25"/>
  <c r="B537" i="25"/>
  <c r="F536" i="25"/>
  <c r="D536" i="25"/>
  <c r="B536" i="25"/>
  <c r="F535" i="25"/>
  <c r="D535" i="25"/>
  <c r="B535" i="25"/>
  <c r="F534" i="25"/>
  <c r="D534" i="25"/>
  <c r="B534" i="25"/>
  <c r="F533" i="25"/>
  <c r="D533" i="25"/>
  <c r="B533" i="25"/>
  <c r="F532" i="25"/>
  <c r="D532" i="25"/>
  <c r="B532" i="25"/>
  <c r="F531" i="25"/>
  <c r="D531" i="25"/>
  <c r="B531" i="25"/>
  <c r="F530" i="25"/>
  <c r="D530" i="25"/>
  <c r="B530" i="25"/>
  <c r="F529" i="25"/>
  <c r="D529" i="25"/>
  <c r="B529" i="25"/>
  <c r="F528" i="25"/>
  <c r="D528" i="25"/>
  <c r="B528" i="25"/>
  <c r="F527" i="25"/>
  <c r="D527" i="25"/>
  <c r="B527" i="25"/>
  <c r="F526" i="25"/>
  <c r="D526" i="25"/>
  <c r="B526" i="25"/>
  <c r="F525" i="25"/>
  <c r="D525" i="25"/>
  <c r="B525" i="25"/>
  <c r="F524" i="25"/>
  <c r="D524" i="25"/>
  <c r="B524" i="25"/>
  <c r="F523" i="25"/>
  <c r="D523" i="25"/>
  <c r="B523" i="25"/>
  <c r="F522" i="25"/>
  <c r="D522" i="25"/>
  <c r="B522" i="25"/>
  <c r="F521" i="25"/>
  <c r="D521" i="25"/>
  <c r="B521" i="25"/>
  <c r="F520" i="25"/>
  <c r="D520" i="25"/>
  <c r="B520" i="25"/>
  <c r="F519" i="25"/>
  <c r="D519" i="25"/>
  <c r="B519" i="25"/>
  <c r="F518" i="25"/>
  <c r="D518" i="25"/>
  <c r="B518" i="25"/>
  <c r="F517" i="25"/>
  <c r="D517" i="25"/>
  <c r="B517" i="25"/>
  <c r="F516" i="25"/>
  <c r="D516" i="25"/>
  <c r="B516" i="25"/>
  <c r="F515" i="25"/>
  <c r="D515" i="25"/>
  <c r="B515" i="25"/>
  <c r="F514" i="25"/>
  <c r="D514" i="25"/>
  <c r="B514" i="25"/>
  <c r="F513" i="25"/>
  <c r="D513" i="25"/>
  <c r="B513" i="25"/>
  <c r="F512" i="25"/>
  <c r="D512" i="25"/>
  <c r="B512" i="25"/>
  <c r="F511" i="25"/>
  <c r="D511" i="25"/>
  <c r="B511" i="25"/>
  <c r="F510" i="25"/>
  <c r="D510" i="25"/>
  <c r="B510" i="25"/>
  <c r="F509" i="25"/>
  <c r="D509" i="25"/>
  <c r="B509" i="25"/>
  <c r="F508" i="25"/>
  <c r="D508" i="25"/>
  <c r="B508" i="25"/>
  <c r="F507" i="25"/>
  <c r="D507" i="25"/>
  <c r="B507" i="25"/>
  <c r="F506" i="25"/>
  <c r="D506" i="25"/>
  <c r="B506" i="25"/>
  <c r="F505" i="25"/>
  <c r="D505" i="25"/>
  <c r="B505" i="25"/>
  <c r="F504" i="25"/>
  <c r="D504" i="25"/>
  <c r="B504" i="25"/>
  <c r="F503" i="25"/>
  <c r="D503" i="25"/>
  <c r="B503" i="25"/>
  <c r="F502" i="25"/>
  <c r="D502" i="25"/>
  <c r="B502" i="25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D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F187" i="25"/>
  <c r="D187" i="25"/>
  <c r="B187" i="25"/>
  <c r="F186" i="25"/>
  <c r="D186" i="25"/>
  <c r="B186" i="25"/>
  <c r="F184" i="25"/>
  <c r="D184" i="25"/>
  <c r="B184" i="25"/>
  <c r="F182" i="25"/>
  <c r="D182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D160" i="25"/>
  <c r="D157" i="25"/>
  <c r="D152" i="25"/>
  <c r="D150" i="25"/>
  <c r="F149" i="25"/>
  <c r="D149" i="25"/>
  <c r="F147" i="25"/>
  <c r="D147" i="25"/>
  <c r="F146" i="25"/>
  <c r="D146" i="25"/>
  <c r="B146" i="25"/>
  <c r="F145" i="25"/>
  <c r="D145" i="25"/>
  <c r="B145" i="25"/>
  <c r="F144" i="25"/>
  <c r="D144" i="25"/>
  <c r="B144" i="25"/>
  <c r="D143" i="25"/>
  <c r="F139" i="25"/>
  <c r="D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19" i="25"/>
  <c r="D119" i="25"/>
  <c r="B119" i="25"/>
  <c r="F118" i="25"/>
  <c r="D118" i="25"/>
  <c r="B118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D105" i="25"/>
  <c r="D104" i="25"/>
  <c r="D102" i="25"/>
  <c r="D101" i="25"/>
  <c r="D100" i="25"/>
  <c r="F98" i="25"/>
  <c r="D98" i="25"/>
  <c r="B98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D85" i="25"/>
  <c r="D84" i="25"/>
  <c r="D80" i="25"/>
  <c r="F77" i="25"/>
  <c r="D77" i="25"/>
  <c r="B77" i="25"/>
  <c r="D71" i="25"/>
  <c r="D68" i="25"/>
  <c r="D64" i="25"/>
  <c r="F61" i="25"/>
  <c r="D61" i="25"/>
  <c r="B61" i="25"/>
  <c r="F60" i="25"/>
  <c r="D60" i="25"/>
  <c r="B60" i="25"/>
  <c r="D58" i="25"/>
  <c r="B58" i="25"/>
  <c r="D53" i="25"/>
  <c r="D51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0" i="25"/>
  <c r="D40" i="25"/>
  <c r="B40" i="25"/>
  <c r="F39" i="25"/>
  <c r="D39" i="25"/>
  <c r="B39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24" i="25"/>
  <c r="D24" i="25"/>
  <c r="B24" i="25"/>
  <c r="F23" i="25"/>
  <c r="D23" i="25"/>
  <c r="B23" i="25"/>
  <c r="F17" i="25"/>
  <c r="D17" i="25"/>
  <c r="F13" i="25"/>
  <c r="D13" i="25"/>
  <c r="B13" i="25"/>
  <c r="F12" i="25"/>
  <c r="D12" i="25"/>
  <c r="B12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H525" i="17"/>
  <c r="F525" i="17"/>
  <c r="D525" i="17"/>
  <c r="B525" i="17"/>
  <c r="A525" i="17"/>
  <c r="H524" i="17"/>
  <c r="F524" i="17"/>
  <c r="D524" i="17"/>
  <c r="B524" i="17"/>
  <c r="A524" i="17"/>
  <c r="H523" i="17"/>
  <c r="F523" i="17"/>
  <c r="D523" i="17"/>
  <c r="B523" i="17"/>
  <c r="A523" i="17"/>
  <c r="H522" i="17"/>
  <c r="F522" i="17"/>
  <c r="D522" i="17"/>
  <c r="B522" i="17"/>
  <c r="A522" i="17"/>
  <c r="H521" i="17"/>
  <c r="F521" i="17"/>
  <c r="D521" i="17"/>
  <c r="B521" i="17"/>
  <c r="A521" i="17"/>
  <c r="H520" i="17"/>
  <c r="F520" i="17"/>
  <c r="D520" i="17"/>
  <c r="B520" i="17"/>
  <c r="A520" i="17"/>
  <c r="H519" i="17"/>
  <c r="F519" i="17"/>
  <c r="D519" i="17"/>
  <c r="B519" i="17"/>
  <c r="A519" i="17"/>
  <c r="H518" i="17"/>
  <c r="F518" i="17"/>
  <c r="D518" i="17"/>
  <c r="B518" i="17"/>
  <c r="A518" i="17"/>
  <c r="H517" i="17"/>
  <c r="F517" i="17"/>
  <c r="D517" i="17"/>
  <c r="B517" i="17"/>
  <c r="A517" i="17"/>
  <c r="H516" i="17"/>
  <c r="F516" i="17"/>
  <c r="D516" i="17"/>
  <c r="B516" i="17"/>
  <c r="A516" i="17"/>
  <c r="H515" i="17"/>
  <c r="F515" i="17"/>
  <c r="D515" i="17"/>
  <c r="B515" i="17"/>
  <c r="A515" i="17"/>
  <c r="H514" i="17"/>
  <c r="F514" i="17"/>
  <c r="D514" i="17"/>
  <c r="B514" i="17"/>
  <c r="A514" i="17"/>
  <c r="H513" i="17"/>
  <c r="F513" i="17"/>
  <c r="D513" i="17"/>
  <c r="B513" i="17"/>
  <c r="A513" i="17"/>
  <c r="H512" i="17"/>
  <c r="F512" i="17"/>
  <c r="D512" i="17"/>
  <c r="B512" i="17"/>
  <c r="A512" i="17"/>
  <c r="H511" i="17"/>
  <c r="F511" i="17"/>
  <c r="D511" i="17"/>
  <c r="B511" i="17"/>
  <c r="A511" i="17"/>
  <c r="H510" i="17"/>
  <c r="F510" i="17"/>
  <c r="D510" i="17"/>
  <c r="B510" i="17"/>
  <c r="A510" i="17"/>
  <c r="H509" i="17"/>
  <c r="F509" i="17"/>
  <c r="D509" i="17"/>
  <c r="B509" i="17"/>
  <c r="A509" i="17"/>
  <c r="H508" i="17"/>
  <c r="F508" i="17"/>
  <c r="D508" i="17"/>
  <c r="B508" i="17"/>
  <c r="A508" i="17"/>
  <c r="H507" i="17"/>
  <c r="F507" i="17"/>
  <c r="D507" i="17"/>
  <c r="B507" i="17"/>
  <c r="A507" i="17"/>
  <c r="H506" i="17"/>
  <c r="F506" i="17"/>
  <c r="D506" i="17"/>
  <c r="B506" i="17"/>
  <c r="A506" i="17"/>
  <c r="H505" i="17"/>
  <c r="F505" i="17"/>
  <c r="D505" i="17"/>
  <c r="B505" i="17"/>
  <c r="A505" i="17"/>
  <c r="H504" i="17"/>
  <c r="F504" i="17"/>
  <c r="D504" i="17"/>
  <c r="B504" i="17"/>
  <c r="A504" i="17"/>
  <c r="H503" i="17"/>
  <c r="F503" i="17"/>
  <c r="D503" i="17"/>
  <c r="B503" i="17"/>
  <c r="A503" i="17"/>
  <c r="H502" i="17"/>
  <c r="F502" i="17"/>
  <c r="D502" i="17"/>
  <c r="B502" i="17"/>
  <c r="A502" i="17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F173" i="17"/>
  <c r="D173" i="17"/>
  <c r="B173" i="17"/>
  <c r="A173" i="17"/>
  <c r="F161" i="17"/>
  <c r="D161" i="17"/>
  <c r="F158" i="17"/>
  <c r="H181" i="17"/>
  <c r="F181" i="17"/>
  <c r="D181" i="17"/>
  <c r="B181" i="17"/>
  <c r="A181" i="17"/>
  <c r="F180" i="17"/>
  <c r="D180" i="17"/>
  <c r="F179" i="17"/>
  <c r="D179" i="17"/>
  <c r="B179" i="17"/>
  <c r="A179" i="17"/>
  <c r="F178" i="17"/>
  <c r="D178" i="17"/>
  <c r="F177" i="17"/>
  <c r="D177" i="17"/>
  <c r="F176" i="17"/>
  <c r="D176" i="17"/>
  <c r="F175" i="17"/>
  <c r="D175" i="17"/>
  <c r="F174" i="17"/>
  <c r="D174" i="17"/>
  <c r="F156" i="17"/>
  <c r="F155" i="17"/>
  <c r="F153" i="17"/>
  <c r="F151" i="17"/>
  <c r="F148" i="17"/>
  <c r="F147" i="17"/>
  <c r="F146" i="17"/>
  <c r="D146" i="17"/>
  <c r="F145" i="17"/>
  <c r="F144" i="17"/>
  <c r="D144" i="17"/>
  <c r="F143" i="17"/>
  <c r="D143" i="17"/>
  <c r="F142" i="17"/>
  <c r="D142" i="17"/>
  <c r="F141" i="17"/>
  <c r="D141" i="17"/>
  <c r="F140" i="17"/>
  <c r="D140" i="17"/>
  <c r="F138" i="17"/>
  <c r="D138" i="17"/>
  <c r="F137" i="17"/>
  <c r="D137" i="17"/>
  <c r="F136" i="17"/>
  <c r="D136" i="17"/>
  <c r="F135" i="17"/>
  <c r="D135" i="17"/>
  <c r="F134" i="17"/>
  <c r="D134" i="17"/>
  <c r="F133" i="17"/>
  <c r="D133" i="17"/>
  <c r="F132" i="17"/>
  <c r="D132" i="17"/>
  <c r="F131" i="17"/>
  <c r="D131" i="17"/>
  <c r="F128" i="17"/>
  <c r="D128" i="17"/>
  <c r="F127" i="17"/>
  <c r="D127" i="17"/>
  <c r="F126" i="17"/>
  <c r="D126" i="17"/>
  <c r="F125" i="17"/>
  <c r="D125" i="17"/>
  <c r="F124" i="17"/>
  <c r="D124" i="17"/>
  <c r="F123" i="17"/>
  <c r="D123" i="17"/>
  <c r="F122" i="17"/>
  <c r="D122" i="17"/>
  <c r="F121" i="17"/>
  <c r="D121" i="17"/>
  <c r="F120" i="17"/>
  <c r="D120" i="17"/>
  <c r="F119" i="17"/>
  <c r="D119" i="17"/>
  <c r="F118" i="17"/>
  <c r="D118" i="17"/>
  <c r="F117" i="17"/>
  <c r="D117" i="17"/>
  <c r="F116" i="17"/>
  <c r="D116" i="17"/>
  <c r="F115" i="17"/>
  <c r="D115" i="17"/>
  <c r="F114" i="17"/>
  <c r="D114" i="17"/>
  <c r="F113" i="17"/>
  <c r="D113" i="17"/>
  <c r="F112" i="17"/>
  <c r="D112" i="17"/>
  <c r="F111" i="17"/>
  <c r="D111" i="17"/>
  <c r="F110" i="17"/>
  <c r="D110" i="17"/>
  <c r="F109" i="17"/>
  <c r="D109" i="17"/>
  <c r="F108" i="17"/>
  <c r="D108" i="17"/>
  <c r="F107" i="17"/>
  <c r="D107" i="17"/>
  <c r="F106" i="17"/>
  <c r="D106" i="17"/>
  <c r="F105" i="17"/>
  <c r="D105" i="17"/>
  <c r="F104" i="17"/>
  <c r="D104" i="17"/>
  <c r="F103" i="17"/>
  <c r="D103" i="17"/>
  <c r="F102" i="17"/>
  <c r="D102" i="17"/>
  <c r="F101" i="17"/>
  <c r="D101" i="17"/>
  <c r="F100" i="17"/>
  <c r="D100" i="17"/>
  <c r="F99" i="17"/>
  <c r="D99" i="17"/>
  <c r="F98" i="17"/>
  <c r="D98" i="17"/>
  <c r="F97" i="17"/>
  <c r="D97" i="17"/>
  <c r="H96" i="17"/>
  <c r="F96" i="17"/>
  <c r="D96" i="17"/>
  <c r="B96" i="17"/>
  <c r="A96" i="17"/>
  <c r="F93" i="17"/>
  <c r="D93" i="17"/>
  <c r="F92" i="17"/>
  <c r="D92" i="17"/>
  <c r="F91" i="17"/>
  <c r="D91" i="17"/>
  <c r="F90" i="17"/>
  <c r="D90" i="17"/>
  <c r="F87" i="17"/>
  <c r="D87" i="17"/>
  <c r="F85" i="17"/>
  <c r="D85" i="17"/>
  <c r="F82" i="17"/>
  <c r="D82" i="17"/>
  <c r="F80" i="17"/>
  <c r="D80" i="17"/>
  <c r="F77" i="17"/>
  <c r="D77" i="17"/>
  <c r="F76" i="17"/>
  <c r="D76" i="17"/>
  <c r="F75" i="17"/>
  <c r="D75" i="17"/>
  <c r="F73" i="17"/>
  <c r="D73" i="17"/>
  <c r="F72" i="17"/>
  <c r="D72" i="17"/>
  <c r="F71" i="17"/>
  <c r="D71" i="17"/>
  <c r="F70" i="17"/>
  <c r="D70" i="17"/>
  <c r="F69" i="17"/>
  <c r="D69" i="17"/>
  <c r="F68" i="17"/>
  <c r="D68" i="17"/>
  <c r="F67" i="17"/>
  <c r="D67" i="17"/>
  <c r="F66" i="17"/>
  <c r="D66" i="17"/>
  <c r="F65" i="17"/>
  <c r="D65" i="17"/>
  <c r="F64" i="17"/>
  <c r="D64" i="17"/>
  <c r="F63" i="17"/>
  <c r="D63" i="17"/>
  <c r="F62" i="17"/>
  <c r="D62" i="17"/>
  <c r="F61" i="17"/>
  <c r="D61" i="17"/>
  <c r="F60" i="17"/>
  <c r="D60" i="17"/>
  <c r="F59" i="17"/>
  <c r="D59" i="17"/>
  <c r="F58" i="17"/>
  <c r="D58" i="17"/>
  <c r="F57" i="17"/>
  <c r="D57" i="17"/>
  <c r="F56" i="17"/>
  <c r="D56" i="17"/>
  <c r="F55" i="17"/>
  <c r="D55" i="17"/>
  <c r="F54" i="17"/>
  <c r="D54" i="17"/>
  <c r="F53" i="17"/>
  <c r="D53" i="17"/>
  <c r="F52" i="17"/>
  <c r="D52" i="17"/>
  <c r="F51" i="17"/>
  <c r="D51" i="17"/>
  <c r="F50" i="17"/>
  <c r="D50" i="17"/>
  <c r="F49" i="17"/>
  <c r="D49" i="17"/>
  <c r="F47" i="17"/>
  <c r="D47" i="17"/>
  <c r="H46" i="17"/>
  <c r="F46" i="17"/>
  <c r="D46" i="17"/>
  <c r="B46" i="17"/>
  <c r="A46" i="17"/>
  <c r="H45" i="17"/>
  <c r="F45" i="17"/>
  <c r="D45" i="17"/>
  <c r="H44" i="17"/>
  <c r="F44" i="17"/>
  <c r="D44" i="17"/>
  <c r="B44" i="17"/>
  <c r="A44" i="17"/>
  <c r="H43" i="17"/>
  <c r="F43" i="17"/>
  <c r="D43" i="17"/>
  <c r="H42" i="17"/>
  <c r="F42" i="17"/>
  <c r="D42" i="17"/>
  <c r="H41" i="17"/>
  <c r="F41" i="17"/>
  <c r="D41" i="17"/>
  <c r="H39" i="17"/>
  <c r="F39" i="17"/>
  <c r="D39" i="17"/>
  <c r="H38" i="17"/>
  <c r="F38" i="17"/>
  <c r="D38" i="17"/>
  <c r="H37" i="17"/>
  <c r="F37" i="17"/>
  <c r="D37" i="17"/>
  <c r="H36" i="17"/>
  <c r="F36" i="17"/>
  <c r="D36" i="17"/>
  <c r="H35" i="17"/>
  <c r="F35" i="17"/>
  <c r="D35" i="17"/>
  <c r="H34" i="17"/>
  <c r="F34" i="17"/>
  <c r="D34" i="17"/>
  <c r="H33" i="17"/>
  <c r="F33" i="17"/>
  <c r="D33" i="17"/>
  <c r="H32" i="17"/>
  <c r="F32" i="17"/>
  <c r="D32" i="17"/>
  <c r="H31" i="17"/>
  <c r="F31" i="17"/>
  <c r="D31" i="17"/>
  <c r="H30" i="17"/>
  <c r="F30" i="17"/>
  <c r="D30" i="17"/>
  <c r="H29" i="17"/>
  <c r="F29" i="17"/>
  <c r="D29" i="17"/>
  <c r="H28" i="17"/>
  <c r="F28" i="17"/>
  <c r="D28" i="17"/>
  <c r="H27" i="17"/>
  <c r="F27" i="17"/>
  <c r="D27" i="17"/>
  <c r="H26" i="17"/>
  <c r="F26" i="17"/>
  <c r="D26" i="17"/>
  <c r="H25" i="17"/>
  <c r="F25" i="17"/>
  <c r="D25" i="17"/>
  <c r="H24" i="17"/>
  <c r="F24" i="17"/>
  <c r="D24" i="17"/>
  <c r="H23" i="17"/>
  <c r="F23" i="17"/>
  <c r="D23" i="17"/>
  <c r="H22" i="17"/>
  <c r="F22" i="17"/>
  <c r="D22" i="17"/>
  <c r="H21" i="17"/>
  <c r="F21" i="17"/>
  <c r="D21" i="17"/>
  <c r="H20" i="17"/>
  <c r="F20" i="17"/>
  <c r="D20" i="17"/>
  <c r="H19" i="17"/>
  <c r="F19" i="17"/>
  <c r="D19" i="17"/>
  <c r="H18" i="17"/>
  <c r="F18" i="17"/>
  <c r="D18" i="17"/>
  <c r="H17" i="17"/>
  <c r="F17" i="17"/>
  <c r="D17" i="17"/>
  <c r="H16" i="17"/>
  <c r="F16" i="17"/>
  <c r="D16" i="17"/>
  <c r="H15" i="17"/>
  <c r="F15" i="17"/>
  <c r="D15" i="17"/>
  <c r="H14" i="17"/>
  <c r="F14" i="17"/>
  <c r="D14" i="17"/>
  <c r="H13" i="17"/>
  <c r="F13" i="17"/>
  <c r="D13" i="17"/>
  <c r="H12" i="17"/>
  <c r="F12" i="17"/>
  <c r="D12" i="17"/>
  <c r="H11" i="17"/>
  <c r="F11" i="17"/>
  <c r="D11" i="17"/>
  <c r="B11" i="17"/>
  <c r="A11" i="17"/>
  <c r="H10" i="17"/>
  <c r="F10" i="17"/>
  <c r="D10" i="17"/>
  <c r="H9" i="17"/>
  <c r="F9" i="17"/>
  <c r="D9" i="17"/>
  <c r="H8" i="17"/>
  <c r="F8" i="17"/>
  <c r="D8" i="17"/>
  <c r="H7" i="17"/>
  <c r="F7" i="17"/>
  <c r="D7" i="17"/>
  <c r="H6" i="17"/>
  <c r="F6" i="17"/>
  <c r="D6" i="17"/>
  <c r="H5" i="17"/>
  <c r="F5" i="17"/>
  <c r="D5" i="17"/>
  <c r="H4" i="17"/>
  <c r="F4" i="17"/>
  <c r="D4" i="17"/>
  <c r="H3" i="17"/>
  <c r="F3" i="25"/>
  <c r="D3" i="25"/>
  <c r="L8" i="12"/>
  <c r="L9" i="12"/>
  <c r="L10" i="12"/>
  <c r="L11" i="12"/>
  <c r="L12" i="12"/>
  <c r="L13" i="12"/>
  <c r="B8" i="17" s="1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B27" i="4" s="1"/>
  <c r="A13" i="17" l="1"/>
  <c r="B16" i="17"/>
  <c r="A21" i="17"/>
  <c r="A63" i="17"/>
  <c r="B66" i="17"/>
  <c r="B90" i="17"/>
  <c r="A105" i="17"/>
  <c r="B108" i="17"/>
  <c r="A121" i="17"/>
  <c r="B124" i="17"/>
  <c r="A140" i="17"/>
  <c r="B143" i="17"/>
  <c r="A177" i="17"/>
  <c r="B3" i="17"/>
  <c r="A7" i="17"/>
  <c r="B10" i="17"/>
  <c r="A15" i="17"/>
  <c r="B18" i="17"/>
  <c r="A23" i="17"/>
  <c r="B26" i="17"/>
  <c r="A31" i="17"/>
  <c r="B34" i="17"/>
  <c r="A39" i="17"/>
  <c r="B43" i="17"/>
  <c r="A49" i="17"/>
  <c r="B52" i="17"/>
  <c r="A57" i="17"/>
  <c r="B60" i="17"/>
  <c r="A65" i="17"/>
  <c r="B68" i="17"/>
  <c r="A73" i="17"/>
  <c r="B77" i="17"/>
  <c r="A87" i="17"/>
  <c r="B92" i="17"/>
  <c r="A99" i="17"/>
  <c r="B102" i="17"/>
  <c r="A107" i="17"/>
  <c r="B110" i="17"/>
  <c r="A115" i="17"/>
  <c r="B118" i="17"/>
  <c r="A123" i="17"/>
  <c r="B126" i="17"/>
  <c r="A133" i="17"/>
  <c r="B136" i="17"/>
  <c r="A142" i="17"/>
  <c r="B174" i="17"/>
  <c r="B9" i="4"/>
  <c r="A13" i="4"/>
  <c r="B16" i="4"/>
  <c r="B24" i="4"/>
  <c r="A3" i="4"/>
  <c r="A11" i="4"/>
  <c r="B13" i="4"/>
  <c r="A18" i="4"/>
  <c r="A45" i="17"/>
  <c r="B49" i="17"/>
  <c r="A112" i="17"/>
  <c r="B115" i="17"/>
  <c r="B4" i="17"/>
  <c r="A9" i="17"/>
  <c r="B12" i="17"/>
  <c r="A17" i="17"/>
  <c r="B20" i="17"/>
  <c r="A25" i="17"/>
  <c r="B28" i="17"/>
  <c r="A33" i="17"/>
  <c r="B36" i="17"/>
  <c r="A42" i="17"/>
  <c r="B45" i="17"/>
  <c r="A51" i="17"/>
  <c r="B54" i="17"/>
  <c r="A59" i="17"/>
  <c r="B62" i="17"/>
  <c r="A67" i="17"/>
  <c r="B70" i="17"/>
  <c r="A76" i="17"/>
  <c r="B82" i="17"/>
  <c r="A91" i="17"/>
  <c r="A101" i="17"/>
  <c r="B104" i="17"/>
  <c r="A109" i="17"/>
  <c r="B112" i="17"/>
  <c r="A117" i="17"/>
  <c r="B120" i="17"/>
  <c r="A125" i="17"/>
  <c r="B128" i="17"/>
  <c r="A135" i="17"/>
  <c r="B138" i="17"/>
  <c r="A144" i="17"/>
  <c r="B147" i="17"/>
  <c r="B176" i="17"/>
  <c r="B3" i="4"/>
  <c r="A8" i="4"/>
  <c r="B11" i="4"/>
  <c r="A15" i="4"/>
  <c r="B18" i="4"/>
  <c r="A23" i="4"/>
  <c r="A31" i="4"/>
  <c r="B41" i="17"/>
  <c r="B50" i="17"/>
  <c r="A28" i="17"/>
  <c r="B31" i="17"/>
  <c r="A62" i="17"/>
  <c r="B65" i="17"/>
  <c r="A104" i="17"/>
  <c r="B107" i="17"/>
  <c r="A138" i="17"/>
  <c r="B142" i="17"/>
  <c r="A147" i="17"/>
  <c r="A176" i="17"/>
  <c r="A6" i="17"/>
  <c r="B9" i="17"/>
  <c r="A14" i="17"/>
  <c r="B17" i="17"/>
  <c r="A22" i="17"/>
  <c r="B25" i="17"/>
  <c r="A30" i="17"/>
  <c r="B33" i="17"/>
  <c r="A38" i="17"/>
  <c r="B42" i="17"/>
  <c r="A47" i="17"/>
  <c r="B51" i="17"/>
  <c r="A56" i="17"/>
  <c r="B59" i="17"/>
  <c r="A64" i="17"/>
  <c r="B67" i="17"/>
  <c r="A72" i="17"/>
  <c r="B76" i="17"/>
  <c r="A85" i="17"/>
  <c r="B91" i="17"/>
  <c r="A98" i="17"/>
  <c r="B101" i="17"/>
  <c r="A106" i="17"/>
  <c r="B109" i="17"/>
  <c r="A114" i="17"/>
  <c r="B117" i="17"/>
  <c r="A122" i="17"/>
  <c r="B125" i="17"/>
  <c r="A132" i="17"/>
  <c r="B135" i="17"/>
  <c r="A141" i="17"/>
  <c r="B144" i="17"/>
  <c r="A178" i="17"/>
  <c r="A5" i="4"/>
  <c r="B8" i="4"/>
  <c r="B15" i="4"/>
  <c r="A20" i="4"/>
  <c r="B23" i="4"/>
  <c r="A28" i="4"/>
  <c r="B31" i="4"/>
  <c r="B32" i="17"/>
  <c r="A4" i="17"/>
  <c r="B7" i="17"/>
  <c r="A36" i="17"/>
  <c r="B39" i="17"/>
  <c r="A70" i="17"/>
  <c r="B73" i="17"/>
  <c r="A82" i="17"/>
  <c r="B87" i="17"/>
  <c r="B99" i="17"/>
  <c r="B14" i="17"/>
  <c r="A27" i="17"/>
  <c r="B30" i="17"/>
  <c r="B47" i="17"/>
  <c r="A61" i="17"/>
  <c r="B64" i="17"/>
  <c r="A80" i="17"/>
  <c r="B85" i="17"/>
  <c r="A103" i="17"/>
  <c r="B106" i="17"/>
  <c r="A119" i="17"/>
  <c r="B122" i="17"/>
  <c r="B141" i="17"/>
  <c r="A161" i="17"/>
  <c r="B5" i="4"/>
  <c r="A17" i="4"/>
  <c r="B20" i="4"/>
  <c r="A25" i="4"/>
  <c r="B28" i="4"/>
  <c r="A33" i="4"/>
  <c r="B24" i="17"/>
  <c r="A29" i="17"/>
  <c r="A37" i="17"/>
  <c r="A12" i="17"/>
  <c r="B15" i="17"/>
  <c r="A20" i="17"/>
  <c r="B23" i="17"/>
  <c r="A54" i="17"/>
  <c r="B57" i="17"/>
  <c r="A120" i="17"/>
  <c r="B123" i="17"/>
  <c r="A128" i="17"/>
  <c r="B133" i="17"/>
  <c r="B6" i="17"/>
  <c r="A19" i="17"/>
  <c r="B22" i="17"/>
  <c r="A35" i="17"/>
  <c r="B38" i="17"/>
  <c r="A53" i="17"/>
  <c r="B56" i="17"/>
  <c r="A69" i="17"/>
  <c r="B72" i="17"/>
  <c r="A93" i="17"/>
  <c r="B98" i="17"/>
  <c r="A111" i="17"/>
  <c r="B114" i="17"/>
  <c r="A127" i="17"/>
  <c r="B132" i="17"/>
  <c r="A137" i="17"/>
  <c r="A146" i="17"/>
  <c r="A175" i="17"/>
  <c r="B178" i="17"/>
  <c r="A8" i="17"/>
  <c r="A16" i="17"/>
  <c r="B19" i="17"/>
  <c r="A24" i="17"/>
  <c r="B27" i="17"/>
  <c r="A32" i="17"/>
  <c r="B35" i="17"/>
  <c r="A41" i="17"/>
  <c r="A50" i="17"/>
  <c r="B53" i="17"/>
  <c r="A58" i="17"/>
  <c r="B61" i="17"/>
  <c r="A66" i="17"/>
  <c r="B69" i="17"/>
  <c r="A75" i="17"/>
  <c r="B80" i="17"/>
  <c r="A90" i="17"/>
  <c r="B93" i="17"/>
  <c r="A100" i="17"/>
  <c r="B103" i="17"/>
  <c r="A108" i="17"/>
  <c r="B111" i="17"/>
  <c r="A116" i="17"/>
  <c r="B119" i="17"/>
  <c r="A124" i="17"/>
  <c r="B127" i="17"/>
  <c r="A134" i="17"/>
  <c r="B137" i="17"/>
  <c r="A143" i="17"/>
  <c r="B146" i="17"/>
  <c r="B175" i="17"/>
  <c r="A180" i="17"/>
  <c r="B161" i="17"/>
  <c r="A7" i="4"/>
  <c r="B17" i="4"/>
  <c r="A22" i="4"/>
  <c r="B25" i="4"/>
  <c r="A30" i="4"/>
  <c r="B33" i="4"/>
  <c r="A4" i="4"/>
  <c r="B7" i="4"/>
  <c r="A19" i="4"/>
  <c r="B22" i="4"/>
  <c r="A27" i="4"/>
  <c r="B30" i="4"/>
  <c r="A5" i="17"/>
  <c r="A55" i="17"/>
  <c r="B58" i="17"/>
  <c r="A71" i="17"/>
  <c r="B75" i="17"/>
  <c r="A97" i="17"/>
  <c r="B100" i="17"/>
  <c r="A113" i="17"/>
  <c r="B116" i="17"/>
  <c r="A131" i="17"/>
  <c r="B134" i="17"/>
  <c r="A148" i="17"/>
  <c r="B180" i="17"/>
  <c r="A3" i="17"/>
  <c r="B5" i="17"/>
  <c r="A10" i="17"/>
  <c r="B13" i="17"/>
  <c r="A18" i="17"/>
  <c r="B21" i="17"/>
  <c r="A26" i="17"/>
  <c r="B29" i="17"/>
  <c r="A34" i="17"/>
  <c r="B37" i="17"/>
  <c r="A43" i="17"/>
  <c r="A52" i="17"/>
  <c r="B55" i="17"/>
  <c r="A60" i="17"/>
  <c r="B63" i="17"/>
  <c r="A68" i="17"/>
  <c r="B71" i="17"/>
  <c r="A77" i="17"/>
  <c r="A92" i="17"/>
  <c r="B97" i="17"/>
  <c r="A102" i="17"/>
  <c r="B105" i="17"/>
  <c r="A110" i="17"/>
  <c r="B113" i="17"/>
  <c r="A118" i="17"/>
  <c r="B121" i="17"/>
  <c r="A126" i="17"/>
  <c r="B131" i="17"/>
  <c r="A136" i="17"/>
  <c r="B140" i="17"/>
  <c r="B148" i="17"/>
  <c r="A174" i="17"/>
  <c r="B177" i="17"/>
  <c r="B4" i="4"/>
  <c r="A9" i="4"/>
  <c r="A16" i="4"/>
  <c r="B19" i="4"/>
  <c r="A24" i="4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7" i="13"/>
  <c r="S116" i="13"/>
  <c r="S115" i="13"/>
  <c r="S114" i="13"/>
  <c r="S113" i="13"/>
  <c r="S111" i="13"/>
  <c r="S110" i="13"/>
  <c r="S109" i="13"/>
  <c r="S108" i="13"/>
  <c r="S107" i="13"/>
  <c r="S106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90" i="13"/>
  <c r="S89" i="13"/>
  <c r="S77" i="13"/>
  <c r="S76" i="13"/>
  <c r="S75" i="13"/>
  <c r="S74" i="13"/>
  <c r="S73" i="13"/>
  <c r="S71" i="13"/>
  <c r="S70" i="13"/>
  <c r="S69" i="13"/>
  <c r="S68" i="13"/>
  <c r="S67" i="13"/>
  <c r="S66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50" i="13"/>
  <c r="S49" i="13"/>
  <c r="S37" i="13"/>
  <c r="S36" i="13"/>
  <c r="S35" i="13"/>
  <c r="S34" i="13"/>
  <c r="S32" i="13"/>
  <c r="S31" i="13"/>
  <c r="S30" i="13"/>
  <c r="S29" i="13"/>
  <c r="S28" i="13"/>
  <c r="S27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U108" i="14"/>
  <c r="R108" i="14"/>
  <c r="Q108" i="14"/>
  <c r="P108" i="14"/>
  <c r="M108" i="14"/>
  <c r="H108" i="14"/>
  <c r="W107" i="14"/>
  <c r="U107" i="14"/>
  <c r="R107" i="14"/>
  <c r="Q107" i="14"/>
  <c r="P107" i="14"/>
  <c r="M107" i="14"/>
  <c r="H107" i="14"/>
  <c r="W105" i="14"/>
  <c r="U105" i="14"/>
  <c r="R105" i="14"/>
  <c r="Q105" i="14"/>
  <c r="P105" i="14"/>
  <c r="M105" i="14"/>
  <c r="H105" i="14"/>
  <c r="W104" i="14"/>
  <c r="U104" i="14"/>
  <c r="R104" i="14"/>
  <c r="Q104" i="14"/>
  <c r="P104" i="14"/>
  <c r="M104" i="14"/>
  <c r="H104" i="14"/>
  <c r="W103" i="14"/>
  <c r="U103" i="14"/>
  <c r="R103" i="14"/>
  <c r="Q103" i="14"/>
  <c r="P103" i="14"/>
  <c r="M103" i="14"/>
  <c r="H103" i="14"/>
  <c r="W102" i="14"/>
  <c r="U102" i="14"/>
  <c r="R102" i="14"/>
  <c r="Q102" i="14"/>
  <c r="P102" i="14"/>
  <c r="M102" i="14"/>
  <c r="H102" i="14"/>
  <c r="W101" i="14"/>
  <c r="U101" i="14"/>
  <c r="R101" i="14"/>
  <c r="Q101" i="14"/>
  <c r="P101" i="14"/>
  <c r="M101" i="14"/>
  <c r="H101" i="14"/>
  <c r="W99" i="14"/>
  <c r="U99" i="14"/>
  <c r="R99" i="14"/>
  <c r="Q99" i="14"/>
  <c r="P99" i="14"/>
  <c r="M99" i="14"/>
  <c r="H99" i="14"/>
  <c r="W98" i="14"/>
  <c r="U98" i="14"/>
  <c r="R98" i="14"/>
  <c r="Q98" i="14"/>
  <c r="P98" i="14"/>
  <c r="M98" i="14"/>
  <c r="H98" i="14"/>
  <c r="W97" i="14"/>
  <c r="U97" i="14"/>
  <c r="R97" i="14"/>
  <c r="Q97" i="14"/>
  <c r="P97" i="14"/>
  <c r="M97" i="14"/>
  <c r="H97" i="14"/>
  <c r="W96" i="14"/>
  <c r="U96" i="14"/>
  <c r="R96" i="14"/>
  <c r="Q96" i="14"/>
  <c r="P96" i="14"/>
  <c r="M96" i="14"/>
  <c r="H96" i="14"/>
  <c r="W95" i="14"/>
  <c r="U95" i="14"/>
  <c r="R95" i="14"/>
  <c r="Q95" i="14"/>
  <c r="P95" i="14"/>
  <c r="M95" i="14"/>
  <c r="H95" i="14"/>
  <c r="W94" i="14"/>
  <c r="U94" i="14"/>
  <c r="R94" i="14"/>
  <c r="Q94" i="14"/>
  <c r="P94" i="14"/>
  <c r="M94" i="14"/>
  <c r="H94" i="14"/>
  <c r="W93" i="14"/>
  <c r="U93" i="14"/>
  <c r="R93" i="14"/>
  <c r="Q93" i="14"/>
  <c r="P93" i="14"/>
  <c r="M93" i="14"/>
  <c r="H93" i="14"/>
  <c r="W88" i="14"/>
  <c r="U88" i="14"/>
  <c r="R88" i="14"/>
  <c r="Q88" i="14"/>
  <c r="P88" i="14"/>
  <c r="M88" i="14"/>
  <c r="H88" i="14"/>
  <c r="W87" i="14"/>
  <c r="U87" i="14"/>
  <c r="R87" i="14"/>
  <c r="Q87" i="14"/>
  <c r="P87" i="14"/>
  <c r="M87" i="14"/>
  <c r="H87" i="14"/>
  <c r="W85" i="14"/>
  <c r="U85" i="14"/>
  <c r="R85" i="14"/>
  <c r="Q85" i="14"/>
  <c r="P85" i="14"/>
  <c r="M85" i="14"/>
  <c r="H85" i="14"/>
  <c r="W84" i="14"/>
  <c r="U84" i="14"/>
  <c r="R84" i="14"/>
  <c r="Q84" i="14"/>
  <c r="P84" i="14"/>
  <c r="M84" i="14"/>
  <c r="H84" i="14"/>
  <c r="W83" i="14"/>
  <c r="U83" i="14"/>
  <c r="R83" i="14"/>
  <c r="Q83" i="14"/>
  <c r="P83" i="14"/>
  <c r="M83" i="14"/>
  <c r="H83" i="14"/>
  <c r="W82" i="14"/>
  <c r="U82" i="14"/>
  <c r="R82" i="14"/>
  <c r="Q82" i="14"/>
  <c r="P82" i="14"/>
  <c r="M82" i="14"/>
  <c r="H82" i="14"/>
  <c r="W81" i="14"/>
  <c r="U81" i="14"/>
  <c r="R81" i="14"/>
  <c r="Q81" i="14"/>
  <c r="P81" i="14"/>
  <c r="M81" i="14"/>
  <c r="H81" i="14"/>
  <c r="W79" i="14"/>
  <c r="U79" i="14"/>
  <c r="R79" i="14"/>
  <c r="Q79" i="14"/>
  <c r="P79" i="14"/>
  <c r="M79" i="14"/>
  <c r="H79" i="14"/>
  <c r="W78" i="14"/>
  <c r="U78" i="14"/>
  <c r="R78" i="14"/>
  <c r="Q78" i="14"/>
  <c r="P78" i="14"/>
  <c r="M78" i="14"/>
  <c r="H78" i="14"/>
  <c r="W77" i="14"/>
  <c r="U77" i="14"/>
  <c r="R77" i="14"/>
  <c r="Q77" i="14"/>
  <c r="P77" i="14"/>
  <c r="M77" i="14"/>
  <c r="H77" i="14"/>
  <c r="W76" i="14"/>
  <c r="U76" i="14"/>
  <c r="R76" i="14"/>
  <c r="Q76" i="14"/>
  <c r="P76" i="14"/>
  <c r="M76" i="14"/>
  <c r="H76" i="14"/>
  <c r="W75" i="14"/>
  <c r="U75" i="14"/>
  <c r="R75" i="14"/>
  <c r="Q75" i="14"/>
  <c r="P75" i="14"/>
  <c r="M75" i="14"/>
  <c r="H75" i="14"/>
  <c r="W74" i="14"/>
  <c r="U74" i="14"/>
  <c r="R74" i="14"/>
  <c r="Q74" i="14"/>
  <c r="P74" i="14"/>
  <c r="M74" i="14"/>
  <c r="H74" i="14"/>
  <c r="W73" i="14"/>
  <c r="U73" i="14"/>
  <c r="R73" i="14"/>
  <c r="Q73" i="14"/>
  <c r="P73" i="14"/>
  <c r="M73" i="14"/>
  <c r="H73" i="14"/>
  <c r="W68" i="14"/>
  <c r="U68" i="14"/>
  <c r="R68" i="14"/>
  <c r="Q68" i="14"/>
  <c r="P68" i="14"/>
  <c r="M68" i="14"/>
  <c r="W67" i="14"/>
  <c r="U67" i="14"/>
  <c r="R67" i="14"/>
  <c r="Q67" i="14"/>
  <c r="P67" i="14"/>
  <c r="M67" i="14"/>
  <c r="W66" i="14"/>
  <c r="U66" i="14"/>
  <c r="R66" i="14"/>
  <c r="Q66" i="14"/>
  <c r="P66" i="14"/>
  <c r="M66" i="14"/>
  <c r="W65" i="14"/>
  <c r="U65" i="14"/>
  <c r="R65" i="14"/>
  <c r="Q65" i="14"/>
  <c r="P65" i="14"/>
  <c r="M65" i="14"/>
  <c r="W64" i="14"/>
  <c r="U64" i="14"/>
  <c r="R64" i="14"/>
  <c r="Q64" i="14"/>
  <c r="P64" i="14"/>
  <c r="M64" i="14"/>
  <c r="W62" i="14"/>
  <c r="U62" i="14"/>
  <c r="R62" i="14"/>
  <c r="Q62" i="14"/>
  <c r="P62" i="14"/>
  <c r="M62" i="14"/>
  <c r="W61" i="14"/>
  <c r="U61" i="14"/>
  <c r="R61" i="14"/>
  <c r="Q61" i="14"/>
  <c r="P61" i="14"/>
  <c r="M61" i="14"/>
  <c r="W60" i="14"/>
  <c r="U60" i="14"/>
  <c r="R60" i="14"/>
  <c r="Q60" i="14"/>
  <c r="P60" i="14"/>
  <c r="M60" i="14"/>
  <c r="W57" i="14"/>
  <c r="U57" i="14"/>
  <c r="R57" i="14"/>
  <c r="Q57" i="14"/>
  <c r="P57" i="14"/>
  <c r="M57" i="14"/>
  <c r="W56" i="14"/>
  <c r="U56" i="14"/>
  <c r="R56" i="14"/>
  <c r="Q56" i="14"/>
  <c r="P56" i="14"/>
  <c r="M56" i="14"/>
  <c r="W55" i="14"/>
  <c r="U55" i="14"/>
  <c r="R55" i="14"/>
  <c r="Q55" i="14"/>
  <c r="P55" i="14"/>
  <c r="M55" i="14"/>
  <c r="W54" i="14"/>
  <c r="U54" i="14"/>
  <c r="R54" i="14"/>
  <c r="Q54" i="14"/>
  <c r="P54" i="14"/>
  <c r="M54" i="14"/>
  <c r="W52" i="14"/>
  <c r="U52" i="14"/>
  <c r="R52" i="14"/>
  <c r="Q52" i="14"/>
  <c r="P52" i="14"/>
  <c r="M52" i="14"/>
  <c r="W50" i="14"/>
  <c r="U50" i="14"/>
  <c r="R50" i="14"/>
  <c r="Q50" i="14"/>
  <c r="P50" i="14"/>
  <c r="M50" i="14"/>
  <c r="W48" i="14"/>
  <c r="U48" i="14"/>
  <c r="R48" i="14"/>
  <c r="Q48" i="14"/>
  <c r="P48" i="14"/>
  <c r="M48" i="14"/>
  <c r="W47" i="14"/>
  <c r="U47" i="14"/>
  <c r="R47" i="14"/>
  <c r="Q47" i="14"/>
  <c r="P47" i="14"/>
  <c r="M47" i="14"/>
  <c r="W46" i="14"/>
  <c r="U46" i="14"/>
  <c r="R46" i="14"/>
  <c r="Q46" i="14"/>
  <c r="P46" i="14"/>
  <c r="M46" i="14"/>
  <c r="W45" i="14"/>
  <c r="U45" i="14"/>
  <c r="R45" i="14"/>
  <c r="Q45" i="14"/>
  <c r="P45" i="14"/>
  <c r="M45" i="14"/>
  <c r="W44" i="14"/>
  <c r="U44" i="14"/>
  <c r="R44" i="14"/>
  <c r="Q44" i="14"/>
  <c r="P44" i="14"/>
  <c r="M44" i="14"/>
  <c r="W43" i="14"/>
  <c r="U43" i="14"/>
  <c r="R43" i="14"/>
  <c r="Q43" i="14"/>
  <c r="P43" i="14"/>
  <c r="M43" i="14"/>
  <c r="W41" i="14"/>
  <c r="U41" i="14"/>
  <c r="R41" i="14"/>
  <c r="Q41" i="14"/>
  <c r="P41" i="14"/>
  <c r="M41" i="14"/>
  <c r="W40" i="14"/>
  <c r="U40" i="14"/>
  <c r="R40" i="14"/>
  <c r="Q40" i="14"/>
  <c r="P40" i="14"/>
  <c r="M40" i="14"/>
  <c r="W37" i="14"/>
  <c r="U37" i="14"/>
  <c r="R37" i="14"/>
  <c r="Q37" i="14"/>
  <c r="P37" i="14"/>
  <c r="M37" i="14"/>
  <c r="W36" i="14"/>
  <c r="U36" i="14"/>
  <c r="R36" i="14"/>
  <c r="Q36" i="14"/>
  <c r="P36" i="14"/>
  <c r="M36" i="14"/>
  <c r="W35" i="14"/>
  <c r="U35" i="14"/>
  <c r="R35" i="14"/>
  <c r="Q35" i="14"/>
  <c r="P35" i="14"/>
  <c r="M35" i="14"/>
  <c r="W34" i="14"/>
  <c r="U34" i="14"/>
  <c r="R34" i="14"/>
  <c r="Q34" i="14"/>
  <c r="P34" i="14"/>
  <c r="M34" i="14"/>
  <c r="W32" i="14"/>
  <c r="U32" i="14"/>
  <c r="R32" i="14"/>
  <c r="Q32" i="14"/>
  <c r="P32" i="14"/>
  <c r="M32" i="14"/>
  <c r="W31" i="14"/>
  <c r="U31" i="14"/>
  <c r="R31" i="14"/>
  <c r="Q31" i="14"/>
  <c r="P31" i="14"/>
  <c r="M31" i="14"/>
  <c r="W29" i="14"/>
  <c r="U29" i="14"/>
  <c r="R29" i="14"/>
  <c r="Q29" i="14"/>
  <c r="P29" i="14"/>
  <c r="M29" i="14"/>
  <c r="W28" i="14"/>
  <c r="U28" i="14"/>
  <c r="R28" i="14"/>
  <c r="Q28" i="14"/>
  <c r="P28" i="14"/>
  <c r="M28" i="14"/>
  <c r="W27" i="14"/>
  <c r="U27" i="14"/>
  <c r="R27" i="14"/>
  <c r="Q27" i="14"/>
  <c r="P27" i="14"/>
  <c r="M27" i="14"/>
  <c r="W26" i="14"/>
  <c r="U26" i="14"/>
  <c r="R26" i="14"/>
  <c r="Q26" i="14"/>
  <c r="P26" i="14"/>
  <c r="M26" i="14"/>
  <c r="W25" i="14"/>
  <c r="U25" i="14"/>
  <c r="R25" i="14"/>
  <c r="Q25" i="14"/>
  <c r="P25" i="14"/>
  <c r="M25" i="14"/>
  <c r="W24" i="14"/>
  <c r="U24" i="14"/>
  <c r="R24" i="14"/>
  <c r="Q24" i="14"/>
  <c r="P24" i="14"/>
  <c r="M24" i="14"/>
  <c r="W22" i="14"/>
  <c r="U22" i="14"/>
  <c r="R22" i="14"/>
  <c r="Q22" i="14"/>
  <c r="P22" i="14"/>
  <c r="M22" i="14"/>
  <c r="W21" i="14"/>
  <c r="U21" i="14"/>
  <c r="R21" i="14"/>
  <c r="Q21" i="14"/>
  <c r="P21" i="14"/>
  <c r="M21" i="14"/>
  <c r="W20" i="14"/>
  <c r="U20" i="14"/>
  <c r="R20" i="14"/>
  <c r="Q20" i="14"/>
  <c r="P20" i="14"/>
  <c r="M20" i="14"/>
  <c r="W18" i="14"/>
  <c r="U18" i="14"/>
  <c r="R18" i="14"/>
  <c r="Q18" i="14"/>
  <c r="P18" i="14"/>
  <c r="M18" i="14"/>
  <c r="W17" i="14"/>
  <c r="U17" i="14"/>
  <c r="R17" i="14"/>
  <c r="Q17" i="14"/>
  <c r="P17" i="14"/>
  <c r="M17" i="14"/>
  <c r="W16" i="14"/>
  <c r="U16" i="14"/>
  <c r="R16" i="14"/>
  <c r="Q16" i="14"/>
  <c r="P16" i="14"/>
  <c r="M16" i="14"/>
  <c r="W14" i="14"/>
  <c r="U14" i="14"/>
  <c r="R14" i="14"/>
  <c r="Q14" i="14"/>
  <c r="P14" i="14"/>
  <c r="M14" i="14"/>
  <c r="W13" i="14"/>
  <c r="U13" i="14"/>
  <c r="R13" i="14"/>
  <c r="Q13" i="14"/>
  <c r="P13" i="14"/>
  <c r="M13" i="14"/>
  <c r="W12" i="14"/>
  <c r="U12" i="14"/>
  <c r="R12" i="14"/>
  <c r="Q12" i="14"/>
  <c r="P12" i="14"/>
  <c r="M12" i="14"/>
  <c r="W11" i="14"/>
  <c r="U11" i="14"/>
  <c r="R11" i="14"/>
  <c r="Q11" i="14"/>
  <c r="P11" i="14"/>
  <c r="M11" i="14"/>
  <c r="W10" i="14"/>
  <c r="U10" i="14"/>
  <c r="R10" i="14"/>
  <c r="Q10" i="14"/>
  <c r="P10" i="14"/>
  <c r="M10" i="14"/>
  <c r="W8" i="14"/>
  <c r="U8" i="14"/>
  <c r="R8" i="14"/>
  <c r="Q8" i="14"/>
  <c r="P8" i="14"/>
  <c r="M8" i="14"/>
  <c r="W7" i="14"/>
  <c r="U7" i="14"/>
  <c r="R7" i="14"/>
  <c r="Q7" i="14"/>
  <c r="P7" i="14"/>
  <c r="M7" i="14"/>
  <c r="W6" i="14"/>
  <c r="U6" i="14"/>
  <c r="R6" i="14"/>
  <c r="Q6" i="14"/>
  <c r="P6" i="14"/>
  <c r="M6" i="14"/>
  <c r="U92" i="14" l="1"/>
  <c r="H100" i="14"/>
  <c r="P106" i="14"/>
  <c r="R106" i="14"/>
  <c r="H106" i="14"/>
  <c r="M106" i="14"/>
  <c r="M92" i="14"/>
  <c r="Q92" i="14"/>
  <c r="P100" i="14"/>
  <c r="R100" i="14"/>
  <c r="U100" i="14"/>
  <c r="W100" i="14"/>
  <c r="Q106" i="14"/>
  <c r="R92" i="14"/>
  <c r="W92" i="14"/>
  <c r="U106" i="14"/>
  <c r="W106" i="14"/>
  <c r="P92" i="14"/>
  <c r="H92" i="14"/>
  <c r="M100" i="14"/>
  <c r="Q100" i="14"/>
  <c r="R51" i="14" l="1"/>
  <c r="R49" i="14"/>
  <c r="R43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91" i="14"/>
  <c r="R38" i="14"/>
  <c r="R4" i="14"/>
  <c r="R87" i="13" l="1"/>
  <c r="R47" i="13"/>
  <c r="R3" i="14"/>
  <c r="D5" i="13"/>
  <c r="R9" i="13" l="1"/>
  <c r="Q91" i="14"/>
  <c r="P91" i="14"/>
  <c r="Q49" i="14"/>
  <c r="P51" i="14"/>
  <c r="P49" i="14"/>
  <c r="Q51" i="14"/>
  <c r="Q87" i="13" l="1"/>
  <c r="Q42" i="14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5" i="13"/>
  <c r="D7" i="13"/>
  <c r="Q43" i="13"/>
  <c r="P87" i="13"/>
  <c r="P43" i="13"/>
  <c r="L43" i="13"/>
  <c r="H43" i="13"/>
  <c r="Q4" i="14" l="1"/>
  <c r="P38" i="14"/>
  <c r="Q38" i="14"/>
  <c r="P58" i="14"/>
  <c r="Q58" i="14"/>
  <c r="P4" i="14"/>
  <c r="Q71" i="14"/>
  <c r="P71" i="14"/>
  <c r="L41" i="4"/>
  <c r="K41" i="4"/>
  <c r="D85" i="13"/>
  <c r="S43" i="13"/>
  <c r="L3" i="4"/>
  <c r="K3" i="4"/>
  <c r="P47" i="13" l="1"/>
  <c r="Q47" i="13"/>
  <c r="W115" i="13"/>
  <c r="U115" i="13"/>
  <c r="R115" i="13"/>
  <c r="P115" i="13"/>
  <c r="L115" i="13"/>
  <c r="H115" i="13"/>
  <c r="Q35" i="13"/>
  <c r="M35" i="13"/>
  <c r="W75" i="13"/>
  <c r="U75" i="13"/>
  <c r="R75" i="13"/>
  <c r="P75" i="13"/>
  <c r="L75" i="13"/>
  <c r="H75" i="13"/>
  <c r="R117" i="13"/>
  <c r="R114" i="13"/>
  <c r="R110" i="13"/>
  <c r="R108" i="13"/>
  <c r="R106" i="13"/>
  <c r="R103" i="13"/>
  <c r="R101" i="13"/>
  <c r="R99" i="13"/>
  <c r="R97" i="13"/>
  <c r="R95" i="13"/>
  <c r="R93" i="13"/>
  <c r="R91" i="13"/>
  <c r="R89" i="13"/>
  <c r="R76" i="13"/>
  <c r="R73" i="13"/>
  <c r="R71" i="13"/>
  <c r="R69" i="13"/>
  <c r="R67" i="13"/>
  <c r="R64" i="13"/>
  <c r="R62" i="13"/>
  <c r="R60" i="13"/>
  <c r="R58" i="13"/>
  <c r="R56" i="13"/>
  <c r="R54" i="13"/>
  <c r="R52" i="13"/>
  <c r="R50" i="13"/>
  <c r="R37" i="13"/>
  <c r="R34" i="13"/>
  <c r="R31" i="13"/>
  <c r="R29" i="13"/>
  <c r="R27" i="13"/>
  <c r="R24" i="13"/>
  <c r="R22" i="13"/>
  <c r="R20" i="13"/>
  <c r="R18" i="13"/>
  <c r="R16" i="13"/>
  <c r="R14" i="13"/>
  <c r="R12" i="13"/>
  <c r="Q115" i="13"/>
  <c r="M115" i="13"/>
  <c r="W35" i="13"/>
  <c r="U35" i="13"/>
  <c r="R35" i="13"/>
  <c r="P35" i="13"/>
  <c r="Q75" i="13"/>
  <c r="M75" i="13"/>
  <c r="R116" i="13"/>
  <c r="R111" i="13"/>
  <c r="R107" i="13"/>
  <c r="R102" i="13"/>
  <c r="R98" i="13"/>
  <c r="R94" i="13"/>
  <c r="R90" i="13"/>
  <c r="R74" i="13"/>
  <c r="R70" i="13"/>
  <c r="R66" i="13"/>
  <c r="R61" i="13"/>
  <c r="R57" i="13"/>
  <c r="R53" i="13"/>
  <c r="R49" i="13"/>
  <c r="R30" i="13"/>
  <c r="R25" i="13"/>
  <c r="R21" i="13"/>
  <c r="R17" i="13"/>
  <c r="R13" i="13"/>
  <c r="L35" i="13"/>
  <c r="H35" i="13"/>
  <c r="R113" i="13"/>
  <c r="R109" i="13"/>
  <c r="R104" i="13"/>
  <c r="R100" i="13"/>
  <c r="R96" i="13"/>
  <c r="R92" i="13"/>
  <c r="R77" i="13"/>
  <c r="R68" i="13"/>
  <c r="R63" i="13"/>
  <c r="R59" i="13"/>
  <c r="R55" i="13"/>
  <c r="R51" i="13"/>
  <c r="R36" i="13"/>
  <c r="R32" i="13"/>
  <c r="R28" i="13"/>
  <c r="R23" i="13"/>
  <c r="R19" i="13"/>
  <c r="R15" i="13"/>
  <c r="R11" i="13"/>
  <c r="Q3" i="14"/>
  <c r="P3" i="14"/>
  <c r="W117" i="13"/>
  <c r="Q117" i="13"/>
  <c r="M117" i="13"/>
  <c r="W77" i="13"/>
  <c r="Q77" i="13"/>
  <c r="M77" i="13"/>
  <c r="P117" i="13"/>
  <c r="L117" i="13"/>
  <c r="H117" i="13"/>
  <c r="P77" i="13"/>
  <c r="L77" i="13"/>
  <c r="H77" i="13"/>
  <c r="U117" i="13"/>
  <c r="U77" i="13"/>
  <c r="U116" i="13"/>
  <c r="Q116" i="13"/>
  <c r="M116" i="13"/>
  <c r="U114" i="13"/>
  <c r="Q114" i="13"/>
  <c r="M114" i="13"/>
  <c r="U113" i="13"/>
  <c r="Q113" i="13"/>
  <c r="M113" i="13"/>
  <c r="U89" i="13"/>
  <c r="Q89" i="13"/>
  <c r="M89" i="13"/>
  <c r="U76" i="13"/>
  <c r="Q76" i="13"/>
  <c r="M76" i="13"/>
  <c r="U74" i="13"/>
  <c r="Q74" i="13"/>
  <c r="M74" i="13"/>
  <c r="U73" i="13"/>
  <c r="Q73" i="13"/>
  <c r="M73" i="13"/>
  <c r="P49" i="13"/>
  <c r="L49" i="13"/>
  <c r="H49" i="13"/>
  <c r="P36" i="13"/>
  <c r="L36" i="13"/>
  <c r="H36" i="13"/>
  <c r="P116" i="13"/>
  <c r="L116" i="13"/>
  <c r="H116" i="13"/>
  <c r="P114" i="13"/>
  <c r="L114" i="13"/>
  <c r="H114" i="13"/>
  <c r="P113" i="13"/>
  <c r="L113" i="13"/>
  <c r="H113" i="13"/>
  <c r="P89" i="13"/>
  <c r="L89" i="13"/>
  <c r="H89" i="13"/>
  <c r="P76" i="13"/>
  <c r="L76" i="13"/>
  <c r="H76" i="13"/>
  <c r="P74" i="13"/>
  <c r="L74" i="13"/>
  <c r="H74" i="13"/>
  <c r="P73" i="13"/>
  <c r="L73" i="13"/>
  <c r="H73" i="13"/>
  <c r="U49" i="13"/>
  <c r="Q49" i="13"/>
  <c r="M49" i="13"/>
  <c r="U36" i="13"/>
  <c r="Q36" i="13"/>
  <c r="M36" i="13"/>
  <c r="P34" i="13"/>
  <c r="L34" i="13"/>
  <c r="H34" i="13"/>
  <c r="U34" i="13"/>
  <c r="Q34" i="13"/>
  <c r="M34" i="13"/>
  <c r="Q110" i="13"/>
  <c r="Q108" i="13"/>
  <c r="Q106" i="13"/>
  <c r="Q103" i="13"/>
  <c r="Q101" i="13"/>
  <c r="Q99" i="13"/>
  <c r="Q97" i="13"/>
  <c r="Q95" i="13"/>
  <c r="Q93" i="13"/>
  <c r="Q91" i="13"/>
  <c r="Q70" i="13"/>
  <c r="Q68" i="13"/>
  <c r="Q66" i="13"/>
  <c r="Q63" i="13"/>
  <c r="Q61" i="13"/>
  <c r="Q59" i="13"/>
  <c r="Q57" i="13"/>
  <c r="Q55" i="13"/>
  <c r="Q53" i="13"/>
  <c r="Q51" i="13"/>
  <c r="Q31" i="13"/>
  <c r="Q29" i="13"/>
  <c r="Q27" i="13"/>
  <c r="Q24" i="13"/>
  <c r="Q22" i="13"/>
  <c r="Q20" i="13"/>
  <c r="Q18" i="13"/>
  <c r="Q16" i="13"/>
  <c r="Q14" i="13"/>
  <c r="Q12" i="13"/>
  <c r="P110" i="13"/>
  <c r="P108" i="13"/>
  <c r="P106" i="13"/>
  <c r="P103" i="13"/>
  <c r="P101" i="13"/>
  <c r="P99" i="13"/>
  <c r="P97" i="13"/>
  <c r="P95" i="13"/>
  <c r="P93" i="13"/>
  <c r="P91" i="13"/>
  <c r="P70" i="13"/>
  <c r="P68" i="13"/>
  <c r="P66" i="13"/>
  <c r="P63" i="13"/>
  <c r="P61" i="13"/>
  <c r="P59" i="13"/>
  <c r="P57" i="13"/>
  <c r="P55" i="13"/>
  <c r="P53" i="13"/>
  <c r="P51" i="13"/>
  <c r="P37" i="13"/>
  <c r="P32" i="13"/>
  <c r="P30" i="13"/>
  <c r="P28" i="13"/>
  <c r="P25" i="13"/>
  <c r="P23" i="13"/>
  <c r="P21" i="13"/>
  <c r="P19" i="13"/>
  <c r="Q109" i="13"/>
  <c r="Q104" i="13"/>
  <c r="Q100" i="13"/>
  <c r="Q96" i="13"/>
  <c r="Q92" i="13"/>
  <c r="Q69" i="13"/>
  <c r="Q64" i="13"/>
  <c r="Q60" i="13"/>
  <c r="Q56" i="13"/>
  <c r="Q52" i="13"/>
  <c r="Q37" i="13"/>
  <c r="Q30" i="13"/>
  <c r="Q25" i="13"/>
  <c r="Q21" i="13"/>
  <c r="Q17" i="13"/>
  <c r="Q13" i="13"/>
  <c r="P109" i="13"/>
  <c r="P104" i="13"/>
  <c r="P100" i="13"/>
  <c r="P96" i="13"/>
  <c r="P92" i="13"/>
  <c r="P69" i="13"/>
  <c r="P64" i="13"/>
  <c r="P60" i="13"/>
  <c r="P56" i="13"/>
  <c r="P52" i="13"/>
  <c r="P31" i="13"/>
  <c r="P27" i="13"/>
  <c r="P22" i="13"/>
  <c r="P18" i="13"/>
  <c r="P16" i="13"/>
  <c r="P14" i="13"/>
  <c r="P12" i="13"/>
  <c r="L110" i="13"/>
  <c r="L108" i="13"/>
  <c r="L106" i="13"/>
  <c r="L103" i="13"/>
  <c r="L101" i="13"/>
  <c r="L99" i="13"/>
  <c r="L97" i="13"/>
  <c r="L95" i="13"/>
  <c r="L93" i="13"/>
  <c r="L91" i="13"/>
  <c r="L70" i="13"/>
  <c r="L68" i="13"/>
  <c r="L66" i="13"/>
  <c r="L63" i="13"/>
  <c r="L61" i="13"/>
  <c r="L59" i="13"/>
  <c r="L57" i="13"/>
  <c r="L55" i="13"/>
  <c r="L53" i="13"/>
  <c r="L51" i="13"/>
  <c r="L37" i="13"/>
  <c r="L32" i="13"/>
  <c r="L30" i="13"/>
  <c r="L28" i="13"/>
  <c r="L25" i="13"/>
  <c r="L23" i="13"/>
  <c r="L21" i="13"/>
  <c r="L19" i="13"/>
  <c r="L17" i="13"/>
  <c r="L15" i="13"/>
  <c r="L13" i="13"/>
  <c r="L11" i="13"/>
  <c r="H111" i="13"/>
  <c r="H109" i="13"/>
  <c r="H107" i="13"/>
  <c r="H104" i="13"/>
  <c r="H102" i="13"/>
  <c r="H100" i="13"/>
  <c r="H98" i="13"/>
  <c r="H96" i="13"/>
  <c r="H94" i="13"/>
  <c r="H92" i="13"/>
  <c r="H90" i="13"/>
  <c r="H71" i="13"/>
  <c r="H69" i="13"/>
  <c r="H67" i="13"/>
  <c r="H64" i="13"/>
  <c r="H62" i="13"/>
  <c r="H60" i="13"/>
  <c r="H58" i="13"/>
  <c r="H56" i="13"/>
  <c r="H54" i="13"/>
  <c r="H52" i="13"/>
  <c r="H50" i="13"/>
  <c r="H31" i="13"/>
  <c r="H29" i="13"/>
  <c r="H27" i="13"/>
  <c r="H24" i="13"/>
  <c r="H22" i="13"/>
  <c r="H20" i="13"/>
  <c r="H18" i="13"/>
  <c r="H16" i="13"/>
  <c r="H14" i="13"/>
  <c r="H12" i="13"/>
  <c r="Q111" i="13"/>
  <c r="Q107" i="13"/>
  <c r="Q102" i="13"/>
  <c r="Q98" i="13"/>
  <c r="Q94" i="13"/>
  <c r="Q90" i="13"/>
  <c r="Q71" i="13"/>
  <c r="Q67" i="13"/>
  <c r="Q62" i="13"/>
  <c r="Q58" i="13"/>
  <c r="Q54" i="13"/>
  <c r="Q50" i="13"/>
  <c r="Q32" i="13"/>
  <c r="Q28" i="13"/>
  <c r="Q23" i="13"/>
  <c r="Q19" i="13"/>
  <c r="Q15" i="13"/>
  <c r="Q11" i="13"/>
  <c r="P111" i="13"/>
  <c r="P107" i="13"/>
  <c r="P102" i="13"/>
  <c r="P98" i="13"/>
  <c r="P94" i="13"/>
  <c r="P90" i="13"/>
  <c r="P71" i="13"/>
  <c r="P67" i="13"/>
  <c r="P62" i="13"/>
  <c r="P58" i="13"/>
  <c r="P54" i="13"/>
  <c r="P50" i="13"/>
  <c r="P29" i="13"/>
  <c r="P24" i="13"/>
  <c r="P20" i="13"/>
  <c r="P17" i="13"/>
  <c r="P15" i="13"/>
  <c r="P13" i="13"/>
  <c r="P11" i="13"/>
  <c r="L111" i="13"/>
  <c r="L109" i="13"/>
  <c r="L107" i="13"/>
  <c r="L104" i="13"/>
  <c r="L100" i="13"/>
  <c r="L96" i="13"/>
  <c r="L92" i="13"/>
  <c r="L69" i="13"/>
  <c r="L64" i="13"/>
  <c r="L60" i="13"/>
  <c r="L56" i="13"/>
  <c r="L52" i="13"/>
  <c r="L31" i="13"/>
  <c r="L27" i="13"/>
  <c r="L22" i="13"/>
  <c r="L18" i="13"/>
  <c r="L14" i="13"/>
  <c r="H108" i="13"/>
  <c r="H103" i="13"/>
  <c r="H99" i="13"/>
  <c r="H95" i="13"/>
  <c r="H91" i="13"/>
  <c r="H68" i="13"/>
  <c r="H63" i="13"/>
  <c r="H59" i="13"/>
  <c r="H55" i="13"/>
  <c r="H51" i="13"/>
  <c r="H37" i="13"/>
  <c r="H30" i="13"/>
  <c r="H25" i="13"/>
  <c r="H21" i="13"/>
  <c r="H17" i="13"/>
  <c r="H13" i="13"/>
  <c r="L102" i="13"/>
  <c r="L98" i="13"/>
  <c r="L94" i="13"/>
  <c r="L90" i="13"/>
  <c r="L71" i="13"/>
  <c r="L67" i="13"/>
  <c r="L62" i="13"/>
  <c r="L58" i="13"/>
  <c r="L54" i="13"/>
  <c r="L50" i="13"/>
  <c r="L29" i="13"/>
  <c r="L24" i="13"/>
  <c r="L20" i="13"/>
  <c r="L16" i="13"/>
  <c r="L12" i="13"/>
  <c r="H110" i="13"/>
  <c r="H106" i="13"/>
  <c r="H101" i="13"/>
  <c r="H97" i="13"/>
  <c r="H93" i="13"/>
  <c r="H70" i="13"/>
  <c r="H66" i="13"/>
  <c r="H61" i="13"/>
  <c r="H57" i="13"/>
  <c r="H53" i="13"/>
  <c r="H32" i="13"/>
  <c r="H28" i="13"/>
  <c r="H23" i="13"/>
  <c r="H19" i="13"/>
  <c r="H15" i="13"/>
  <c r="H11" i="13"/>
  <c r="U16" i="13"/>
  <c r="P9" i="13" l="1"/>
  <c r="Q9" i="13"/>
  <c r="R65" i="13"/>
  <c r="R72" i="13"/>
  <c r="R26" i="13"/>
  <c r="R118" i="13"/>
  <c r="R33" i="13"/>
  <c r="R78" i="13"/>
  <c r="R105" i="13"/>
  <c r="R112" i="13"/>
  <c r="R38" i="13"/>
  <c r="Q26" i="13"/>
  <c r="H118" i="13"/>
  <c r="H78" i="13"/>
  <c r="S118" i="13"/>
  <c r="S78" i="13"/>
  <c r="L78" i="13"/>
  <c r="Q78" i="13"/>
  <c r="P38" i="13"/>
  <c r="P118" i="13"/>
  <c r="L38" i="13"/>
  <c r="H26" i="13"/>
  <c r="H112" i="13"/>
  <c r="L65" i="13"/>
  <c r="L105" i="13"/>
  <c r="L118" i="13"/>
  <c r="P78" i="13"/>
  <c r="Q118" i="13"/>
  <c r="S105" i="13"/>
  <c r="H65" i="13"/>
  <c r="S65" i="13"/>
  <c r="P65" i="13"/>
  <c r="P105" i="13"/>
  <c r="Q65" i="13"/>
  <c r="Q105" i="13"/>
  <c r="H105" i="13"/>
  <c r="L26" i="13"/>
  <c r="S26" i="13"/>
  <c r="P26" i="13"/>
  <c r="H33" i="13"/>
  <c r="L33" i="13"/>
  <c r="H38" i="13"/>
  <c r="W59" i="14"/>
  <c r="L112" i="13"/>
  <c r="P72" i="13"/>
  <c r="Q33" i="13"/>
  <c r="Q112" i="13"/>
  <c r="H72" i="13"/>
  <c r="L72" i="13"/>
  <c r="P112" i="13"/>
  <c r="Q38" i="13"/>
  <c r="Q72" i="13"/>
  <c r="S38" i="13"/>
  <c r="P33" i="13"/>
  <c r="S72" i="13"/>
  <c r="S112" i="13"/>
  <c r="S33" i="13"/>
  <c r="S6" i="13" l="1"/>
  <c r="S8" i="13" s="1"/>
  <c r="R39" i="13"/>
  <c r="R79" i="13"/>
  <c r="R44" i="13"/>
  <c r="R46" i="13" s="1"/>
  <c r="R48" i="13" s="1"/>
  <c r="R84" i="13"/>
  <c r="R86" i="13" s="1"/>
  <c r="R88" i="13" s="1"/>
  <c r="R6" i="13"/>
  <c r="R8" i="13" s="1"/>
  <c r="R10" i="13" s="1"/>
  <c r="R119" i="13"/>
  <c r="L84" i="13"/>
  <c r="L86" i="13" s="1"/>
  <c r="P44" i="13"/>
  <c r="P46" i="13" s="1"/>
  <c r="P48" i="13" s="1"/>
  <c r="H6" i="13"/>
  <c r="H8" i="13" s="1"/>
  <c r="L79" i="13"/>
  <c r="H39" i="13"/>
  <c r="Q79" i="13"/>
  <c r="Q84" i="13"/>
  <c r="Q86" i="13" s="1"/>
  <c r="P79" i="13"/>
  <c r="H84" i="13"/>
  <c r="H86" i="13" s="1"/>
  <c r="Q119" i="13"/>
  <c r="H79" i="13"/>
  <c r="Q6" i="13"/>
  <c r="Q8" i="13" s="1"/>
  <c r="S39" i="13"/>
  <c r="S84" i="13"/>
  <c r="S86" i="13" s="1"/>
  <c r="P119" i="13"/>
  <c r="Q39" i="13"/>
  <c r="L119" i="13"/>
  <c r="L6" i="13"/>
  <c r="L8" i="13" s="1"/>
  <c r="H119" i="13"/>
  <c r="L39" i="13"/>
  <c r="L44" i="13"/>
  <c r="L46" i="13" s="1"/>
  <c r="H44" i="13"/>
  <c r="H46" i="13" s="1"/>
  <c r="Q44" i="13"/>
  <c r="Q46" i="13" s="1"/>
  <c r="P84" i="13"/>
  <c r="P86" i="13" s="1"/>
  <c r="P88" i="13" s="1"/>
  <c r="P6" i="13"/>
  <c r="P8" i="13" s="1"/>
  <c r="P10" i="13" s="1"/>
  <c r="S44" i="13"/>
  <c r="S46" i="13" s="1"/>
  <c r="S79" i="13"/>
  <c r="S119" i="13"/>
  <c r="P39" i="13"/>
  <c r="L586" i="25"/>
  <c r="K586" i="25"/>
  <c r="L585" i="25"/>
  <c r="K585" i="25"/>
  <c r="L584" i="25"/>
  <c r="K584" i="25"/>
  <c r="L583" i="25"/>
  <c r="K583" i="25"/>
  <c r="L582" i="25"/>
  <c r="K582" i="25"/>
  <c r="L581" i="25"/>
  <c r="K581" i="25"/>
  <c r="L580" i="25"/>
  <c r="K580" i="25"/>
  <c r="L579" i="25"/>
  <c r="K579" i="25"/>
  <c r="L578" i="25"/>
  <c r="K578" i="25"/>
  <c r="L577" i="25"/>
  <c r="K577" i="25"/>
  <c r="L576" i="25"/>
  <c r="K576" i="25"/>
  <c r="L575" i="25"/>
  <c r="K575" i="25"/>
  <c r="L574" i="25"/>
  <c r="K574" i="25"/>
  <c r="L573" i="25"/>
  <c r="K573" i="25"/>
  <c r="L572" i="25"/>
  <c r="K572" i="25"/>
  <c r="L571" i="25"/>
  <c r="K571" i="25"/>
  <c r="L570" i="25"/>
  <c r="K570" i="25"/>
  <c r="L569" i="25"/>
  <c r="K569" i="25"/>
  <c r="L568" i="25"/>
  <c r="K568" i="25"/>
  <c r="L567" i="25"/>
  <c r="K567" i="25"/>
  <c r="L566" i="25"/>
  <c r="K566" i="25"/>
  <c r="L565" i="25"/>
  <c r="K565" i="25"/>
  <c r="L564" i="25"/>
  <c r="K564" i="25"/>
  <c r="L563" i="25"/>
  <c r="K563" i="25"/>
  <c r="L562" i="25"/>
  <c r="K562" i="25"/>
  <c r="L561" i="25"/>
  <c r="K561" i="25"/>
  <c r="L560" i="25"/>
  <c r="K560" i="25"/>
  <c r="L559" i="25"/>
  <c r="K559" i="25"/>
  <c r="L558" i="25"/>
  <c r="K558" i="25"/>
  <c r="L557" i="25"/>
  <c r="K557" i="25"/>
  <c r="L556" i="25"/>
  <c r="K556" i="25"/>
  <c r="L555" i="25"/>
  <c r="K555" i="25"/>
  <c r="L554" i="25"/>
  <c r="K554" i="25"/>
  <c r="L553" i="25"/>
  <c r="K553" i="25"/>
  <c r="L552" i="25"/>
  <c r="K552" i="25"/>
  <c r="L551" i="25"/>
  <c r="K551" i="25"/>
  <c r="L550" i="25"/>
  <c r="K550" i="25"/>
  <c r="L549" i="25"/>
  <c r="K549" i="25"/>
  <c r="L548" i="25"/>
  <c r="K548" i="25"/>
  <c r="L547" i="25"/>
  <c r="K547" i="25"/>
  <c r="L546" i="25"/>
  <c r="K546" i="25"/>
  <c r="L545" i="25"/>
  <c r="K545" i="25"/>
  <c r="L544" i="25"/>
  <c r="K544" i="25"/>
  <c r="L543" i="25"/>
  <c r="K543" i="25"/>
  <c r="L542" i="25"/>
  <c r="K542" i="25"/>
  <c r="L541" i="25"/>
  <c r="K541" i="25"/>
  <c r="L540" i="25"/>
  <c r="K540" i="25"/>
  <c r="L539" i="25"/>
  <c r="K539" i="25"/>
  <c r="L538" i="25"/>
  <c r="K538" i="25"/>
  <c r="L537" i="25"/>
  <c r="K537" i="25"/>
  <c r="L536" i="25"/>
  <c r="K536" i="25"/>
  <c r="L535" i="25"/>
  <c r="K535" i="25"/>
  <c r="L534" i="25"/>
  <c r="K534" i="25"/>
  <c r="L533" i="25"/>
  <c r="K533" i="25"/>
  <c r="L532" i="25"/>
  <c r="K532" i="25"/>
  <c r="L531" i="25"/>
  <c r="K531" i="25"/>
  <c r="L530" i="25"/>
  <c r="K530" i="25"/>
  <c r="L529" i="25"/>
  <c r="K529" i="25"/>
  <c r="L528" i="25"/>
  <c r="K528" i="25"/>
  <c r="L527" i="25"/>
  <c r="K527" i="25"/>
  <c r="L526" i="25"/>
  <c r="K526" i="25"/>
  <c r="L525" i="25"/>
  <c r="K525" i="25"/>
  <c r="L524" i="25"/>
  <c r="K524" i="25"/>
  <c r="L523" i="25"/>
  <c r="K523" i="25"/>
  <c r="L522" i="25"/>
  <c r="K522" i="25"/>
  <c r="L521" i="25"/>
  <c r="K521" i="25"/>
  <c r="L520" i="25"/>
  <c r="K520" i="25"/>
  <c r="L519" i="25"/>
  <c r="K519" i="25"/>
  <c r="L518" i="25"/>
  <c r="K518" i="25"/>
  <c r="L517" i="25"/>
  <c r="K517" i="25"/>
  <c r="L516" i="25"/>
  <c r="K516" i="25"/>
  <c r="L515" i="25"/>
  <c r="K515" i="25"/>
  <c r="L514" i="25"/>
  <c r="K514" i="25"/>
  <c r="L513" i="25"/>
  <c r="K513" i="25"/>
  <c r="L512" i="25"/>
  <c r="K512" i="25"/>
  <c r="L511" i="25"/>
  <c r="K511" i="25"/>
  <c r="L510" i="25"/>
  <c r="K510" i="25"/>
  <c r="L509" i="25"/>
  <c r="K509" i="25"/>
  <c r="L508" i="25"/>
  <c r="K508" i="25"/>
  <c r="L507" i="25"/>
  <c r="K507" i="25"/>
  <c r="L506" i="25"/>
  <c r="K506" i="25"/>
  <c r="L505" i="25"/>
  <c r="K505" i="25"/>
  <c r="L504" i="25"/>
  <c r="K504" i="25"/>
  <c r="L503" i="25"/>
  <c r="K503" i="25"/>
  <c r="L502" i="25"/>
  <c r="K502" i="25"/>
  <c r="L501" i="25"/>
  <c r="K501" i="25"/>
  <c r="L500" i="25"/>
  <c r="K500" i="25"/>
  <c r="L499" i="25"/>
  <c r="K499" i="25"/>
  <c r="L498" i="25"/>
  <c r="K498" i="25"/>
  <c r="L497" i="25"/>
  <c r="K497" i="25"/>
  <c r="L496" i="25"/>
  <c r="K496" i="25"/>
  <c r="L495" i="25"/>
  <c r="K495" i="25"/>
  <c r="L494" i="25"/>
  <c r="K494" i="25"/>
  <c r="L493" i="25"/>
  <c r="K493" i="25"/>
  <c r="L492" i="25"/>
  <c r="K492" i="25"/>
  <c r="L491" i="25"/>
  <c r="K491" i="25"/>
  <c r="L490" i="25"/>
  <c r="K490" i="25"/>
  <c r="L489" i="25"/>
  <c r="K489" i="25"/>
  <c r="L488" i="25"/>
  <c r="K488" i="25"/>
  <c r="L487" i="25"/>
  <c r="K487" i="25"/>
  <c r="L486" i="25"/>
  <c r="K486" i="25"/>
  <c r="L485" i="25"/>
  <c r="K485" i="25"/>
  <c r="L484" i="25"/>
  <c r="K484" i="25"/>
  <c r="L483" i="25"/>
  <c r="K483" i="25"/>
  <c r="L482" i="25"/>
  <c r="K482" i="25"/>
  <c r="L481" i="25"/>
  <c r="K481" i="25"/>
  <c r="L480" i="25"/>
  <c r="K480" i="25"/>
  <c r="L479" i="25"/>
  <c r="K479" i="25"/>
  <c r="L478" i="25"/>
  <c r="K478" i="25"/>
  <c r="L477" i="25"/>
  <c r="K477" i="25"/>
  <c r="L476" i="25"/>
  <c r="K476" i="25"/>
  <c r="L475" i="25"/>
  <c r="K475" i="25"/>
  <c r="L474" i="25"/>
  <c r="K474" i="25"/>
  <c r="L473" i="25"/>
  <c r="K473" i="25"/>
  <c r="L472" i="25"/>
  <c r="K472" i="25"/>
  <c r="L471" i="25"/>
  <c r="K471" i="25"/>
  <c r="L470" i="25"/>
  <c r="K470" i="25"/>
  <c r="L469" i="25"/>
  <c r="K469" i="25"/>
  <c r="L468" i="25"/>
  <c r="K468" i="25"/>
  <c r="L467" i="25"/>
  <c r="K467" i="25"/>
  <c r="L466" i="25"/>
  <c r="K466" i="25"/>
  <c r="L465" i="25"/>
  <c r="K465" i="25"/>
  <c r="L464" i="25"/>
  <c r="K464" i="25"/>
  <c r="L463" i="25"/>
  <c r="K463" i="25"/>
  <c r="L462" i="25"/>
  <c r="K462" i="25"/>
  <c r="L461" i="25"/>
  <c r="K461" i="25"/>
  <c r="L460" i="25"/>
  <c r="K460" i="25"/>
  <c r="L459" i="25"/>
  <c r="K459" i="25"/>
  <c r="L458" i="25"/>
  <c r="K458" i="25"/>
  <c r="L457" i="25"/>
  <c r="K457" i="25"/>
  <c r="L456" i="25"/>
  <c r="K456" i="25"/>
  <c r="L455" i="25"/>
  <c r="K455" i="25"/>
  <c r="L454" i="25"/>
  <c r="K454" i="25"/>
  <c r="L453" i="25"/>
  <c r="K453" i="25"/>
  <c r="L452" i="25"/>
  <c r="K452" i="25"/>
  <c r="L451" i="25"/>
  <c r="K451" i="25"/>
  <c r="L450" i="25"/>
  <c r="K450" i="25"/>
  <c r="L449" i="25"/>
  <c r="K449" i="25"/>
  <c r="L448" i="25"/>
  <c r="K448" i="25"/>
  <c r="L447" i="25"/>
  <c r="K447" i="25"/>
  <c r="L446" i="25"/>
  <c r="K446" i="25"/>
  <c r="L445" i="25"/>
  <c r="K445" i="25"/>
  <c r="L444" i="25"/>
  <c r="K444" i="25"/>
  <c r="L443" i="25"/>
  <c r="K443" i="25"/>
  <c r="L442" i="25"/>
  <c r="K442" i="25"/>
  <c r="L441" i="25"/>
  <c r="K441" i="25"/>
  <c r="L440" i="25"/>
  <c r="K440" i="25"/>
  <c r="L439" i="25"/>
  <c r="K439" i="25"/>
  <c r="L438" i="25"/>
  <c r="K438" i="25"/>
  <c r="L437" i="25"/>
  <c r="K437" i="25"/>
  <c r="L436" i="25"/>
  <c r="K436" i="25"/>
  <c r="L435" i="25"/>
  <c r="K435" i="25"/>
  <c r="L434" i="25"/>
  <c r="K434" i="25"/>
  <c r="L433" i="25"/>
  <c r="K433" i="25"/>
  <c r="L432" i="25"/>
  <c r="K432" i="25"/>
  <c r="L431" i="25"/>
  <c r="K431" i="25"/>
  <c r="L430" i="25"/>
  <c r="K430" i="25"/>
  <c r="L429" i="25"/>
  <c r="K429" i="25"/>
  <c r="L428" i="25"/>
  <c r="K428" i="25"/>
  <c r="L427" i="25"/>
  <c r="K427" i="25"/>
  <c r="L426" i="25"/>
  <c r="K426" i="25"/>
  <c r="L425" i="25"/>
  <c r="K425" i="25"/>
  <c r="L424" i="25"/>
  <c r="K424" i="25"/>
  <c r="L423" i="25"/>
  <c r="K423" i="25"/>
  <c r="L422" i="25"/>
  <c r="K422" i="25"/>
  <c r="L421" i="25"/>
  <c r="K421" i="25"/>
  <c r="L420" i="25"/>
  <c r="K420" i="25"/>
  <c r="L419" i="25"/>
  <c r="K419" i="25"/>
  <c r="L418" i="25"/>
  <c r="K418" i="25"/>
  <c r="L417" i="25"/>
  <c r="K417" i="25"/>
  <c r="L416" i="25"/>
  <c r="K416" i="25"/>
  <c r="L415" i="25"/>
  <c r="K415" i="25"/>
  <c r="L414" i="25"/>
  <c r="K414" i="25"/>
  <c r="L413" i="25"/>
  <c r="K413" i="25"/>
  <c r="L412" i="25"/>
  <c r="K412" i="25"/>
  <c r="L411" i="25"/>
  <c r="K411" i="25"/>
  <c r="L410" i="25"/>
  <c r="K410" i="25"/>
  <c r="L409" i="25"/>
  <c r="K409" i="25"/>
  <c r="L408" i="25"/>
  <c r="K408" i="25"/>
  <c r="L407" i="25"/>
  <c r="K407" i="25"/>
  <c r="L406" i="25"/>
  <c r="K406" i="25"/>
  <c r="L405" i="25"/>
  <c r="K405" i="25"/>
  <c r="L404" i="25"/>
  <c r="K404" i="25"/>
  <c r="L403" i="25"/>
  <c r="K403" i="25"/>
  <c r="L402" i="25"/>
  <c r="K402" i="25"/>
  <c r="L401" i="25"/>
  <c r="K401" i="25"/>
  <c r="L400" i="25"/>
  <c r="K400" i="25"/>
  <c r="L399" i="25"/>
  <c r="K399" i="25"/>
  <c r="L398" i="25"/>
  <c r="K398" i="25"/>
  <c r="L397" i="25"/>
  <c r="K397" i="25"/>
  <c r="L396" i="25"/>
  <c r="K396" i="25"/>
  <c r="L395" i="25"/>
  <c r="K395" i="25"/>
  <c r="L394" i="25"/>
  <c r="K394" i="25"/>
  <c r="L393" i="25"/>
  <c r="K393" i="25"/>
  <c r="L392" i="25"/>
  <c r="K392" i="25"/>
  <c r="L391" i="25"/>
  <c r="K391" i="25"/>
  <c r="L390" i="25"/>
  <c r="K390" i="25"/>
  <c r="L389" i="25"/>
  <c r="K389" i="25"/>
  <c r="L388" i="25"/>
  <c r="K388" i="25"/>
  <c r="L387" i="25"/>
  <c r="K387" i="25"/>
  <c r="L386" i="25"/>
  <c r="K386" i="25"/>
  <c r="L385" i="25"/>
  <c r="K385" i="25"/>
  <c r="L384" i="25"/>
  <c r="K384" i="25"/>
  <c r="L383" i="25"/>
  <c r="K383" i="25"/>
  <c r="L382" i="25"/>
  <c r="K382" i="25"/>
  <c r="L381" i="25"/>
  <c r="K381" i="25"/>
  <c r="L380" i="25"/>
  <c r="K380" i="25"/>
  <c r="L379" i="25"/>
  <c r="K379" i="25"/>
  <c r="L378" i="25"/>
  <c r="K378" i="25"/>
  <c r="L377" i="25"/>
  <c r="K377" i="25"/>
  <c r="L376" i="25"/>
  <c r="K376" i="25"/>
  <c r="L375" i="25"/>
  <c r="K375" i="25"/>
  <c r="L374" i="25"/>
  <c r="K374" i="25"/>
  <c r="L373" i="25"/>
  <c r="K373" i="25"/>
  <c r="L372" i="25"/>
  <c r="K372" i="25"/>
  <c r="L371" i="25"/>
  <c r="K371" i="25"/>
  <c r="L370" i="25"/>
  <c r="K370" i="25"/>
  <c r="L369" i="25"/>
  <c r="K369" i="25"/>
  <c r="L368" i="25"/>
  <c r="K368" i="25"/>
  <c r="L367" i="25"/>
  <c r="K367" i="25"/>
  <c r="L366" i="25"/>
  <c r="K366" i="25"/>
  <c r="L365" i="25"/>
  <c r="K365" i="25"/>
  <c r="L364" i="25"/>
  <c r="K364" i="25"/>
  <c r="L363" i="25"/>
  <c r="K363" i="25"/>
  <c r="L362" i="25"/>
  <c r="K362" i="25"/>
  <c r="L361" i="25"/>
  <c r="K361" i="25"/>
  <c r="L360" i="25"/>
  <c r="K360" i="25"/>
  <c r="L359" i="25"/>
  <c r="K359" i="25"/>
  <c r="L358" i="25"/>
  <c r="K358" i="25"/>
  <c r="L357" i="25"/>
  <c r="K357" i="25"/>
  <c r="L356" i="25"/>
  <c r="K356" i="25"/>
  <c r="L355" i="25"/>
  <c r="K355" i="25"/>
  <c r="L354" i="25"/>
  <c r="K354" i="25"/>
  <c r="L353" i="25"/>
  <c r="K353" i="25"/>
  <c r="L352" i="25"/>
  <c r="K352" i="25"/>
  <c r="L351" i="25"/>
  <c r="K351" i="25"/>
  <c r="L350" i="25"/>
  <c r="K350" i="25"/>
  <c r="L349" i="25"/>
  <c r="K349" i="25"/>
  <c r="L348" i="25"/>
  <c r="K348" i="25"/>
  <c r="L347" i="25"/>
  <c r="K347" i="25"/>
  <c r="L346" i="25"/>
  <c r="K346" i="25"/>
  <c r="L345" i="25"/>
  <c r="K345" i="25"/>
  <c r="L344" i="25"/>
  <c r="K344" i="25"/>
  <c r="L343" i="25"/>
  <c r="K343" i="25"/>
  <c r="L342" i="25"/>
  <c r="K342" i="25"/>
  <c r="L341" i="25"/>
  <c r="K341" i="25"/>
  <c r="L340" i="25"/>
  <c r="K340" i="25"/>
  <c r="L339" i="25"/>
  <c r="K339" i="25"/>
  <c r="L338" i="25"/>
  <c r="K338" i="25"/>
  <c r="L337" i="25"/>
  <c r="K337" i="25"/>
  <c r="L336" i="25"/>
  <c r="K336" i="25"/>
  <c r="L335" i="25"/>
  <c r="K335" i="25"/>
  <c r="L334" i="25"/>
  <c r="K334" i="25"/>
  <c r="L333" i="25"/>
  <c r="K333" i="25"/>
  <c r="L332" i="25"/>
  <c r="K332" i="25"/>
  <c r="L331" i="25"/>
  <c r="K331" i="25"/>
  <c r="L330" i="25"/>
  <c r="K330" i="25"/>
  <c r="L329" i="25"/>
  <c r="K329" i="25"/>
  <c r="L328" i="25"/>
  <c r="K328" i="25"/>
  <c r="L327" i="25"/>
  <c r="K327" i="25"/>
  <c r="L326" i="25"/>
  <c r="K326" i="25"/>
  <c r="L325" i="25"/>
  <c r="K325" i="25"/>
  <c r="L324" i="25"/>
  <c r="K324" i="25"/>
  <c r="L323" i="25"/>
  <c r="K323" i="25"/>
  <c r="L322" i="25"/>
  <c r="K322" i="25"/>
  <c r="L321" i="25"/>
  <c r="K321" i="25"/>
  <c r="L320" i="25"/>
  <c r="K320" i="25"/>
  <c r="L319" i="25"/>
  <c r="K319" i="25"/>
  <c r="L318" i="25"/>
  <c r="K318" i="25"/>
  <c r="L317" i="25"/>
  <c r="K317" i="25"/>
  <c r="L316" i="25"/>
  <c r="K316" i="25"/>
  <c r="L315" i="25"/>
  <c r="K315" i="25"/>
  <c r="L314" i="25"/>
  <c r="K314" i="25"/>
  <c r="L313" i="25"/>
  <c r="K313" i="25"/>
  <c r="L312" i="25"/>
  <c r="K312" i="25"/>
  <c r="L311" i="25"/>
  <c r="K311" i="25"/>
  <c r="L310" i="25"/>
  <c r="K310" i="25"/>
  <c r="L309" i="25"/>
  <c r="K309" i="25"/>
  <c r="L308" i="25"/>
  <c r="K308" i="25"/>
  <c r="L307" i="25"/>
  <c r="K307" i="25"/>
  <c r="L306" i="25"/>
  <c r="K306" i="25"/>
  <c r="L305" i="25"/>
  <c r="K305" i="25"/>
  <c r="L304" i="25"/>
  <c r="K304" i="25"/>
  <c r="L303" i="25"/>
  <c r="K303" i="25"/>
  <c r="L302" i="25"/>
  <c r="K302" i="25"/>
  <c r="L301" i="25"/>
  <c r="K301" i="25"/>
  <c r="L300" i="25"/>
  <c r="K300" i="25"/>
  <c r="L299" i="25"/>
  <c r="K299" i="25"/>
  <c r="L298" i="25"/>
  <c r="K298" i="25"/>
  <c r="L297" i="25"/>
  <c r="K297" i="25"/>
  <c r="L296" i="25"/>
  <c r="K296" i="25"/>
  <c r="L295" i="25"/>
  <c r="K295" i="25"/>
  <c r="L294" i="25"/>
  <c r="K294" i="25"/>
  <c r="L293" i="25"/>
  <c r="K293" i="25"/>
  <c r="L292" i="25"/>
  <c r="K292" i="25"/>
  <c r="L291" i="25"/>
  <c r="K291" i="25"/>
  <c r="L290" i="25"/>
  <c r="K290" i="25"/>
  <c r="L289" i="25"/>
  <c r="K289" i="25"/>
  <c r="L288" i="25"/>
  <c r="K288" i="25"/>
  <c r="L287" i="25"/>
  <c r="K287" i="25"/>
  <c r="L286" i="25"/>
  <c r="K286" i="25"/>
  <c r="L285" i="25"/>
  <c r="K285" i="25"/>
  <c r="L284" i="25"/>
  <c r="K284" i="25"/>
  <c r="L283" i="25"/>
  <c r="K283" i="25"/>
  <c r="L282" i="25"/>
  <c r="K282" i="25"/>
  <c r="L281" i="25"/>
  <c r="K281" i="25"/>
  <c r="L280" i="25"/>
  <c r="K280" i="25"/>
  <c r="L279" i="25"/>
  <c r="K279" i="25"/>
  <c r="L278" i="25"/>
  <c r="K278" i="25"/>
  <c r="L277" i="25"/>
  <c r="K277" i="25"/>
  <c r="L276" i="25"/>
  <c r="K276" i="25"/>
  <c r="L275" i="25"/>
  <c r="K275" i="25"/>
  <c r="L274" i="25"/>
  <c r="K274" i="25"/>
  <c r="L273" i="25"/>
  <c r="K273" i="25"/>
  <c r="L272" i="25"/>
  <c r="K272" i="25"/>
  <c r="L271" i="25"/>
  <c r="K271" i="25"/>
  <c r="L270" i="25"/>
  <c r="K270" i="25"/>
  <c r="L269" i="25"/>
  <c r="K269" i="25"/>
  <c r="L268" i="25"/>
  <c r="K268" i="25"/>
  <c r="L267" i="25"/>
  <c r="K267" i="25"/>
  <c r="L266" i="25"/>
  <c r="K266" i="25"/>
  <c r="L265" i="25"/>
  <c r="K265" i="25"/>
  <c r="L264" i="25"/>
  <c r="K264" i="25"/>
  <c r="L263" i="25"/>
  <c r="K263" i="25"/>
  <c r="L262" i="25"/>
  <c r="K262" i="25"/>
  <c r="L261" i="25"/>
  <c r="K261" i="25"/>
  <c r="L260" i="25"/>
  <c r="K260" i="25"/>
  <c r="L259" i="25"/>
  <c r="K259" i="25"/>
  <c r="L258" i="25"/>
  <c r="K258" i="25"/>
  <c r="L257" i="25"/>
  <c r="K257" i="25"/>
  <c r="L256" i="25"/>
  <c r="K256" i="25"/>
  <c r="L255" i="25"/>
  <c r="K255" i="25"/>
  <c r="L254" i="25"/>
  <c r="K254" i="25"/>
  <c r="L253" i="25"/>
  <c r="K253" i="25"/>
  <c r="L252" i="25"/>
  <c r="K252" i="25"/>
  <c r="L251" i="25"/>
  <c r="K251" i="25"/>
  <c r="L250" i="25"/>
  <c r="K250" i="25"/>
  <c r="L249" i="25"/>
  <c r="K249" i="25"/>
  <c r="L248" i="25"/>
  <c r="K248" i="25"/>
  <c r="L247" i="25"/>
  <c r="K247" i="25"/>
  <c r="L246" i="25"/>
  <c r="K246" i="25"/>
  <c r="L245" i="25"/>
  <c r="K245" i="25"/>
  <c r="L244" i="25"/>
  <c r="K244" i="25"/>
  <c r="L243" i="25"/>
  <c r="K243" i="25"/>
  <c r="L242" i="25"/>
  <c r="K242" i="25"/>
  <c r="L241" i="25"/>
  <c r="K241" i="25"/>
  <c r="L240" i="25"/>
  <c r="K240" i="25"/>
  <c r="L239" i="25"/>
  <c r="K239" i="25"/>
  <c r="L238" i="25"/>
  <c r="K238" i="25"/>
  <c r="L237" i="25"/>
  <c r="K237" i="25"/>
  <c r="L236" i="25"/>
  <c r="K236" i="25"/>
  <c r="L235" i="25"/>
  <c r="K235" i="25"/>
  <c r="L234" i="25"/>
  <c r="K234" i="25"/>
  <c r="L233" i="25"/>
  <c r="K233" i="25"/>
  <c r="L232" i="25"/>
  <c r="K232" i="25"/>
  <c r="L231" i="25"/>
  <c r="K231" i="25"/>
  <c r="L230" i="25"/>
  <c r="K230" i="25"/>
  <c r="L229" i="25"/>
  <c r="K229" i="25"/>
  <c r="L228" i="25"/>
  <c r="K228" i="25"/>
  <c r="L227" i="25"/>
  <c r="K227" i="25"/>
  <c r="L226" i="25"/>
  <c r="K226" i="25"/>
  <c r="L225" i="25"/>
  <c r="K225" i="25"/>
  <c r="L224" i="25"/>
  <c r="K224" i="25"/>
  <c r="L223" i="25"/>
  <c r="K223" i="25"/>
  <c r="L222" i="25"/>
  <c r="K222" i="25"/>
  <c r="L221" i="25"/>
  <c r="K221" i="25"/>
  <c r="L220" i="25"/>
  <c r="K220" i="25"/>
  <c r="L219" i="25"/>
  <c r="K219" i="25"/>
  <c r="L218" i="25"/>
  <c r="K218" i="25"/>
  <c r="L217" i="25"/>
  <c r="K217" i="25"/>
  <c r="L216" i="25"/>
  <c r="K216" i="25"/>
  <c r="L215" i="25"/>
  <c r="K215" i="25"/>
  <c r="T214" i="25"/>
  <c r="S214" i="25"/>
  <c r="L214" i="25"/>
  <c r="K214" i="25"/>
  <c r="T213" i="25"/>
  <c r="S213" i="25"/>
  <c r="L213" i="25"/>
  <c r="K213" i="25"/>
  <c r="T212" i="25"/>
  <c r="S212" i="25"/>
  <c r="L212" i="25"/>
  <c r="K212" i="25"/>
  <c r="T211" i="25"/>
  <c r="S211" i="25"/>
  <c r="L211" i="25"/>
  <c r="K211" i="25"/>
  <c r="T210" i="25"/>
  <c r="S210" i="25"/>
  <c r="L210" i="25"/>
  <c r="K210" i="25"/>
  <c r="T209" i="25"/>
  <c r="S209" i="25"/>
  <c r="L209" i="25"/>
  <c r="K209" i="25"/>
  <c r="T208" i="25"/>
  <c r="S208" i="25"/>
  <c r="L208" i="25"/>
  <c r="K208" i="25"/>
  <c r="T207" i="25"/>
  <c r="S207" i="25"/>
  <c r="L207" i="25"/>
  <c r="K207" i="25"/>
  <c r="T206" i="25"/>
  <c r="S206" i="25"/>
  <c r="L206" i="25"/>
  <c r="K206" i="25"/>
  <c r="T205" i="25"/>
  <c r="S205" i="25"/>
  <c r="L205" i="25"/>
  <c r="K205" i="25"/>
  <c r="T204" i="25"/>
  <c r="S204" i="25"/>
  <c r="L204" i="25"/>
  <c r="K204" i="25"/>
  <c r="T203" i="25"/>
  <c r="S203" i="25"/>
  <c r="L203" i="25"/>
  <c r="K203" i="25"/>
  <c r="T202" i="25"/>
  <c r="S202" i="25"/>
  <c r="L202" i="25"/>
  <c r="K202" i="25"/>
  <c r="T201" i="25"/>
  <c r="S201" i="25"/>
  <c r="L201" i="25"/>
  <c r="K201" i="25"/>
  <c r="T200" i="25"/>
  <c r="S200" i="25"/>
  <c r="L200" i="25"/>
  <c r="K200" i="25"/>
  <c r="T199" i="25"/>
  <c r="S199" i="25"/>
  <c r="L199" i="25"/>
  <c r="K199" i="25"/>
  <c r="T198" i="25"/>
  <c r="S198" i="25"/>
  <c r="L198" i="25"/>
  <c r="K198" i="25"/>
  <c r="T197" i="25"/>
  <c r="S197" i="25"/>
  <c r="L197" i="25"/>
  <c r="K197" i="25"/>
  <c r="T196" i="25"/>
  <c r="S196" i="25"/>
  <c r="L196" i="25"/>
  <c r="K196" i="25"/>
  <c r="T195" i="25"/>
  <c r="S195" i="25"/>
  <c r="L195" i="25"/>
  <c r="K195" i="25"/>
  <c r="T194" i="25"/>
  <c r="S194" i="25"/>
  <c r="L194" i="25"/>
  <c r="K194" i="25"/>
  <c r="T193" i="25"/>
  <c r="S193" i="25"/>
  <c r="L193" i="25"/>
  <c r="K193" i="25"/>
  <c r="T192" i="25"/>
  <c r="S192" i="25"/>
  <c r="L192" i="25"/>
  <c r="K192" i="25"/>
  <c r="T191" i="25"/>
  <c r="S191" i="25"/>
  <c r="L191" i="25"/>
  <c r="K191" i="25"/>
  <c r="T190" i="25"/>
  <c r="S190" i="25"/>
  <c r="L190" i="25"/>
  <c r="K190" i="25"/>
  <c r="T189" i="25"/>
  <c r="S189" i="25"/>
  <c r="L189" i="25"/>
  <c r="K189" i="25"/>
  <c r="T188" i="25"/>
  <c r="S188" i="25"/>
  <c r="L188" i="25"/>
  <c r="K188" i="25"/>
  <c r="T187" i="25"/>
  <c r="S187" i="25"/>
  <c r="L187" i="25"/>
  <c r="K187" i="25"/>
  <c r="T186" i="25"/>
  <c r="S186" i="25"/>
  <c r="L186" i="25"/>
  <c r="K186" i="25"/>
  <c r="T184" i="25"/>
  <c r="S184" i="25"/>
  <c r="L184" i="25"/>
  <c r="K184" i="25"/>
  <c r="T182" i="25"/>
  <c r="S182" i="25"/>
  <c r="L182" i="25"/>
  <c r="K182" i="25"/>
  <c r="T165" i="25"/>
  <c r="S165" i="25"/>
  <c r="L165" i="25"/>
  <c r="K165" i="25"/>
  <c r="T164" i="25"/>
  <c r="S164" i="25"/>
  <c r="L164" i="25"/>
  <c r="K164" i="25"/>
  <c r="T163" i="25"/>
  <c r="S163" i="25"/>
  <c r="L163" i="25"/>
  <c r="K163" i="25"/>
  <c r="T162" i="25"/>
  <c r="S162" i="25"/>
  <c r="L162" i="25"/>
  <c r="K162" i="25"/>
  <c r="T161" i="25"/>
  <c r="S161" i="25"/>
  <c r="L161" i="25"/>
  <c r="K161" i="25"/>
  <c r="T160" i="25"/>
  <c r="S160" i="25"/>
  <c r="L160" i="25"/>
  <c r="K160" i="25"/>
  <c r="T157" i="25"/>
  <c r="S157" i="25"/>
  <c r="L157" i="25"/>
  <c r="K157" i="25"/>
  <c r="T152" i="25"/>
  <c r="S152" i="25"/>
  <c r="L152" i="25"/>
  <c r="K152" i="25"/>
  <c r="T150" i="25"/>
  <c r="S150" i="25"/>
  <c r="L150" i="25"/>
  <c r="K150" i="25"/>
  <c r="T149" i="25"/>
  <c r="S149" i="25"/>
  <c r="L149" i="25"/>
  <c r="K149" i="25"/>
  <c r="T147" i="25"/>
  <c r="S147" i="25"/>
  <c r="L147" i="25"/>
  <c r="K147" i="25"/>
  <c r="T146" i="25"/>
  <c r="S146" i="25"/>
  <c r="L146" i="25"/>
  <c r="K146" i="25"/>
  <c r="T145" i="25"/>
  <c r="S145" i="25"/>
  <c r="L145" i="25"/>
  <c r="K145" i="25"/>
  <c r="T144" i="25"/>
  <c r="S144" i="25"/>
  <c r="L144" i="25"/>
  <c r="K144" i="25"/>
  <c r="T143" i="25"/>
  <c r="S143" i="25"/>
  <c r="L143" i="25"/>
  <c r="K143" i="25"/>
  <c r="T139" i="25"/>
  <c r="S139" i="25"/>
  <c r="L139" i="25"/>
  <c r="K139" i="25"/>
  <c r="T138" i="25"/>
  <c r="S138" i="25"/>
  <c r="L138" i="25"/>
  <c r="K138" i="25"/>
  <c r="T137" i="25"/>
  <c r="S137" i="25"/>
  <c r="L137" i="25"/>
  <c r="K137" i="25"/>
  <c r="T136" i="25"/>
  <c r="S136" i="25"/>
  <c r="L136" i="25"/>
  <c r="K136" i="25"/>
  <c r="T135" i="25"/>
  <c r="S135" i="25"/>
  <c r="L135" i="25"/>
  <c r="K135" i="25"/>
  <c r="T134" i="25"/>
  <c r="S134" i="25"/>
  <c r="L134" i="25"/>
  <c r="K134" i="25"/>
  <c r="T133" i="25"/>
  <c r="S133" i="25"/>
  <c r="L133" i="25"/>
  <c r="K133" i="25"/>
  <c r="T132" i="25"/>
  <c r="S132" i="25"/>
  <c r="L132" i="25"/>
  <c r="K132" i="25"/>
  <c r="T131" i="25"/>
  <c r="S131" i="25"/>
  <c r="L131" i="25"/>
  <c r="K131" i="25"/>
  <c r="T130" i="25"/>
  <c r="S130" i="25"/>
  <c r="L130" i="25"/>
  <c r="K130" i="25"/>
  <c r="T129" i="25"/>
  <c r="S129" i="25"/>
  <c r="L129" i="25"/>
  <c r="K129" i="25"/>
  <c r="T119" i="25"/>
  <c r="S119" i="25"/>
  <c r="L119" i="25"/>
  <c r="K119" i="25"/>
  <c r="T118" i="25"/>
  <c r="S118" i="25"/>
  <c r="L118" i="25"/>
  <c r="K118" i="25"/>
  <c r="T113" i="25"/>
  <c r="S113" i="25"/>
  <c r="L113" i="25"/>
  <c r="K113" i="25"/>
  <c r="T112" i="25"/>
  <c r="S112" i="25"/>
  <c r="L112" i="25"/>
  <c r="K112" i="25"/>
  <c r="T111" i="25"/>
  <c r="S111" i="25"/>
  <c r="L111" i="25"/>
  <c r="K111" i="25"/>
  <c r="T110" i="25"/>
  <c r="S110" i="25"/>
  <c r="L110" i="25"/>
  <c r="K110" i="25"/>
  <c r="T109" i="25"/>
  <c r="S109" i="25"/>
  <c r="L109" i="25"/>
  <c r="K109" i="25"/>
  <c r="T105" i="25"/>
  <c r="S105" i="25"/>
  <c r="L105" i="25"/>
  <c r="K105" i="25"/>
  <c r="T104" i="25"/>
  <c r="S104" i="25"/>
  <c r="L104" i="25"/>
  <c r="K104" i="25"/>
  <c r="T102" i="25"/>
  <c r="S102" i="25"/>
  <c r="L102" i="25"/>
  <c r="K102" i="25"/>
  <c r="T101" i="25"/>
  <c r="S101" i="25"/>
  <c r="L101" i="25"/>
  <c r="K101" i="25"/>
  <c r="T100" i="25"/>
  <c r="S100" i="25"/>
  <c r="L100" i="25"/>
  <c r="K100" i="25"/>
  <c r="T98" i="25"/>
  <c r="S98" i="25"/>
  <c r="L98" i="25"/>
  <c r="K98" i="25"/>
  <c r="T95" i="25"/>
  <c r="S95" i="25"/>
  <c r="L95" i="25"/>
  <c r="K95" i="25"/>
  <c r="T94" i="25"/>
  <c r="S94" i="25"/>
  <c r="L94" i="25"/>
  <c r="K94" i="25"/>
  <c r="T93" i="25"/>
  <c r="S93" i="25"/>
  <c r="L93" i="25"/>
  <c r="K93" i="25"/>
  <c r="T92" i="25"/>
  <c r="S92" i="25"/>
  <c r="L92" i="25"/>
  <c r="K92" i="25"/>
  <c r="T85" i="25"/>
  <c r="S85" i="25"/>
  <c r="L85" i="25"/>
  <c r="K85" i="25"/>
  <c r="T84" i="25"/>
  <c r="S84" i="25"/>
  <c r="L84" i="25"/>
  <c r="K84" i="25"/>
  <c r="T80" i="25"/>
  <c r="S80" i="25"/>
  <c r="L80" i="25"/>
  <c r="K80" i="25"/>
  <c r="T77" i="25"/>
  <c r="S77" i="25"/>
  <c r="L77" i="25"/>
  <c r="K77" i="25"/>
  <c r="T71" i="25"/>
  <c r="S71" i="25"/>
  <c r="L71" i="25"/>
  <c r="K71" i="25"/>
  <c r="T68" i="25"/>
  <c r="S68" i="25"/>
  <c r="L68" i="25"/>
  <c r="K68" i="25"/>
  <c r="T64" i="25"/>
  <c r="S64" i="25"/>
  <c r="L64" i="25"/>
  <c r="K64" i="25"/>
  <c r="T61" i="25"/>
  <c r="S61" i="25"/>
  <c r="L61" i="25"/>
  <c r="K61" i="25"/>
  <c r="T60" i="25"/>
  <c r="S60" i="25"/>
  <c r="L60" i="25"/>
  <c r="K60" i="25"/>
  <c r="T58" i="25"/>
  <c r="S58" i="25"/>
  <c r="L58" i="25"/>
  <c r="K58" i="25"/>
  <c r="T53" i="25"/>
  <c r="S53" i="25"/>
  <c r="L53" i="25"/>
  <c r="K53" i="25"/>
  <c r="T51" i="25"/>
  <c r="S51" i="25"/>
  <c r="L51" i="25"/>
  <c r="K51" i="25"/>
  <c r="T48" i="25"/>
  <c r="S48" i="25"/>
  <c r="L48" i="25"/>
  <c r="K48" i="25"/>
  <c r="T47" i="25"/>
  <c r="S47" i="25"/>
  <c r="L47" i="25"/>
  <c r="K47" i="25"/>
  <c r="T46" i="25"/>
  <c r="S46" i="25"/>
  <c r="L46" i="25"/>
  <c r="K46" i="25"/>
  <c r="T45" i="25"/>
  <c r="S45" i="25"/>
  <c r="L45" i="25"/>
  <c r="K45" i="25"/>
  <c r="T44" i="25"/>
  <c r="S44" i="25"/>
  <c r="L44" i="25"/>
  <c r="K44" i="25"/>
  <c r="T40" i="25"/>
  <c r="S40" i="25"/>
  <c r="L40" i="25"/>
  <c r="K40" i="25"/>
  <c r="T39" i="25"/>
  <c r="S39" i="25"/>
  <c r="L39" i="25"/>
  <c r="K39" i="25"/>
  <c r="T37" i="25"/>
  <c r="S37" i="25"/>
  <c r="L37" i="25"/>
  <c r="K37" i="25"/>
  <c r="T36" i="25"/>
  <c r="S36" i="25"/>
  <c r="L36" i="25"/>
  <c r="K36" i="25"/>
  <c r="T35" i="25"/>
  <c r="S35" i="25"/>
  <c r="L35" i="25"/>
  <c r="K35" i="25"/>
  <c r="T34" i="25"/>
  <c r="S34" i="25"/>
  <c r="L34" i="25"/>
  <c r="K34" i="25"/>
  <c r="T33" i="25"/>
  <c r="S33" i="25"/>
  <c r="L33" i="25"/>
  <c r="K33" i="25"/>
  <c r="T32" i="25"/>
  <c r="S32" i="25"/>
  <c r="L32" i="25"/>
  <c r="K32" i="25"/>
  <c r="T24" i="25"/>
  <c r="S24" i="25"/>
  <c r="L24" i="25"/>
  <c r="K24" i="25"/>
  <c r="T23" i="25"/>
  <c r="S23" i="25"/>
  <c r="L23" i="25"/>
  <c r="K23" i="25"/>
  <c r="T17" i="25"/>
  <c r="S17" i="25"/>
  <c r="L17" i="25"/>
  <c r="K17" i="25"/>
  <c r="T13" i="25"/>
  <c r="S13" i="25"/>
  <c r="L13" i="25"/>
  <c r="K13" i="25"/>
  <c r="T12" i="25"/>
  <c r="S12" i="25"/>
  <c r="L12" i="25"/>
  <c r="K12" i="25"/>
  <c r="T10" i="25"/>
  <c r="S10" i="25"/>
  <c r="L10" i="25"/>
  <c r="K10" i="25"/>
  <c r="T9" i="25"/>
  <c r="S9" i="25"/>
  <c r="L9" i="25"/>
  <c r="K9" i="25"/>
  <c r="T8" i="25"/>
  <c r="S8" i="25"/>
  <c r="L8" i="25"/>
  <c r="K8" i="25"/>
  <c r="T7" i="25"/>
  <c r="S7" i="25"/>
  <c r="L7" i="25"/>
  <c r="K7" i="25"/>
  <c r="T6" i="25"/>
  <c r="S6" i="25"/>
  <c r="L6" i="25"/>
  <c r="K6" i="25"/>
  <c r="L5" i="25"/>
  <c r="K5" i="25"/>
  <c r="L3" i="25"/>
  <c r="K3" i="25"/>
  <c r="C1" i="25"/>
  <c r="O108" i="14" l="1"/>
  <c r="O107" i="14"/>
  <c r="O105" i="14"/>
  <c r="O104" i="14"/>
  <c r="O103" i="14"/>
  <c r="O102" i="14"/>
  <c r="O101" i="14"/>
  <c r="O99" i="14"/>
  <c r="O98" i="14"/>
  <c r="O97" i="14"/>
  <c r="O96" i="14"/>
  <c r="O95" i="14"/>
  <c r="O94" i="14"/>
  <c r="O93" i="14"/>
  <c r="O88" i="14"/>
  <c r="O87" i="14"/>
  <c r="O85" i="14"/>
  <c r="O84" i="14"/>
  <c r="O83" i="14"/>
  <c r="O82" i="14"/>
  <c r="O81" i="14"/>
  <c r="O79" i="14"/>
  <c r="O78" i="14"/>
  <c r="O77" i="14"/>
  <c r="O76" i="14"/>
  <c r="O75" i="14"/>
  <c r="O74" i="14"/>
  <c r="O73" i="14"/>
  <c r="O62" i="14"/>
  <c r="O50" i="14"/>
  <c r="O40" i="14"/>
  <c r="O28" i="14"/>
  <c r="O18" i="14"/>
  <c r="O10" i="14"/>
  <c r="O64" i="14"/>
  <c r="O52" i="14"/>
  <c r="O41" i="14"/>
  <c r="O29" i="14"/>
  <c r="O65" i="14"/>
  <c r="O54" i="14"/>
  <c r="O43" i="14"/>
  <c r="O31" i="14"/>
  <c r="O21" i="14"/>
  <c r="O11" i="14"/>
  <c r="O66" i="14"/>
  <c r="O55" i="14"/>
  <c r="O44" i="14"/>
  <c r="O32" i="14"/>
  <c r="O22" i="14"/>
  <c r="O12" i="14"/>
  <c r="O67" i="14"/>
  <c r="O56" i="14"/>
  <c r="O45" i="14"/>
  <c r="O34" i="14"/>
  <c r="O24" i="14"/>
  <c r="O13" i="14"/>
  <c r="O8" i="14"/>
  <c r="O68" i="14"/>
  <c r="O57" i="14"/>
  <c r="O46" i="14"/>
  <c r="O35" i="14"/>
  <c r="O25" i="14"/>
  <c r="O14" i="14"/>
  <c r="O26" i="14"/>
  <c r="O6" i="14"/>
  <c r="O17" i="14"/>
  <c r="O60" i="14"/>
  <c r="O47" i="14"/>
  <c r="O36" i="14"/>
  <c r="O16" i="14"/>
  <c r="O7" i="14"/>
  <c r="O20" i="14"/>
  <c r="O61" i="14"/>
  <c r="O48" i="14"/>
  <c r="O37" i="14"/>
  <c r="O27" i="14"/>
  <c r="N107" i="14"/>
  <c r="N102" i="14"/>
  <c r="N97" i="14"/>
  <c r="N93" i="14"/>
  <c r="N84" i="14"/>
  <c r="N79" i="14"/>
  <c r="N75" i="14"/>
  <c r="N105" i="14"/>
  <c r="N101" i="14"/>
  <c r="N96" i="14"/>
  <c r="N88" i="14"/>
  <c r="N83" i="14"/>
  <c r="N78" i="14"/>
  <c r="N74" i="14"/>
  <c r="N104" i="14"/>
  <c r="N99" i="14"/>
  <c r="N95" i="14"/>
  <c r="N87" i="14"/>
  <c r="N82" i="14"/>
  <c r="N77" i="14"/>
  <c r="N73" i="14"/>
  <c r="N108" i="14"/>
  <c r="N103" i="14"/>
  <c r="N98" i="14"/>
  <c r="N94" i="14"/>
  <c r="N85" i="14"/>
  <c r="N81" i="14"/>
  <c r="N76" i="14"/>
  <c r="F68" i="14"/>
  <c r="F57" i="14"/>
  <c r="F46" i="14"/>
  <c r="F35" i="14"/>
  <c r="F25" i="14"/>
  <c r="F14" i="14"/>
  <c r="F45" i="14"/>
  <c r="F67" i="14"/>
  <c r="F56" i="14"/>
  <c r="F66" i="14"/>
  <c r="F55" i="14"/>
  <c r="F44" i="14"/>
  <c r="F32" i="14"/>
  <c r="F22" i="14"/>
  <c r="F12" i="14"/>
  <c r="F17" i="14"/>
  <c r="F7" i="14"/>
  <c r="F13" i="14"/>
  <c r="F65" i="14"/>
  <c r="F54" i="14"/>
  <c r="F43" i="14"/>
  <c r="F31" i="14"/>
  <c r="F21" i="14"/>
  <c r="F11" i="14"/>
  <c r="F10" i="14"/>
  <c r="F6" i="14"/>
  <c r="F34" i="14"/>
  <c r="F24" i="14"/>
  <c r="F64" i="14"/>
  <c r="F52" i="14"/>
  <c r="F41" i="14"/>
  <c r="F29" i="14"/>
  <c r="F20" i="14"/>
  <c r="F62" i="14"/>
  <c r="F50" i="14"/>
  <c r="F40" i="14"/>
  <c r="F28" i="14"/>
  <c r="F18" i="14"/>
  <c r="F8" i="14"/>
  <c r="F27" i="14"/>
  <c r="F61" i="14"/>
  <c r="F48" i="14"/>
  <c r="F37" i="14"/>
  <c r="F60" i="14"/>
  <c r="F47" i="14"/>
  <c r="F36" i="14"/>
  <c r="F26" i="14"/>
  <c r="F16" i="14"/>
  <c r="F108" i="14"/>
  <c r="F103" i="14"/>
  <c r="F98" i="14"/>
  <c r="F94" i="14"/>
  <c r="F85" i="14"/>
  <c r="F81" i="14"/>
  <c r="F76" i="14"/>
  <c r="F107" i="14"/>
  <c r="F102" i="14"/>
  <c r="F97" i="14"/>
  <c r="F93" i="14"/>
  <c r="F84" i="14"/>
  <c r="F79" i="14"/>
  <c r="F75" i="14"/>
  <c r="F105" i="14"/>
  <c r="F101" i="14"/>
  <c r="F96" i="14"/>
  <c r="F88" i="14"/>
  <c r="F83" i="14"/>
  <c r="F78" i="14"/>
  <c r="F74" i="14"/>
  <c r="F104" i="14"/>
  <c r="F99" i="14"/>
  <c r="F95" i="14"/>
  <c r="F87" i="14"/>
  <c r="F82" i="14"/>
  <c r="F77" i="14"/>
  <c r="F73" i="14"/>
  <c r="N66" i="14"/>
  <c r="N55" i="14"/>
  <c r="N44" i="14"/>
  <c r="N32" i="14"/>
  <c r="N22" i="14"/>
  <c r="N12" i="14"/>
  <c r="N43" i="14"/>
  <c r="N65" i="14"/>
  <c r="N54" i="14"/>
  <c r="N64" i="14"/>
  <c r="N52" i="14"/>
  <c r="N41" i="14"/>
  <c r="N29" i="14"/>
  <c r="N20" i="14"/>
  <c r="N10" i="14"/>
  <c r="N25" i="14"/>
  <c r="N14" i="14"/>
  <c r="N31" i="14"/>
  <c r="N62" i="14"/>
  <c r="N50" i="14"/>
  <c r="N40" i="14"/>
  <c r="N28" i="14"/>
  <c r="N18" i="14"/>
  <c r="N8" i="14"/>
  <c r="N61" i="14"/>
  <c r="N48" i="14"/>
  <c r="N37" i="14"/>
  <c r="N27" i="14"/>
  <c r="N17" i="14"/>
  <c r="N7" i="14"/>
  <c r="N11" i="14"/>
  <c r="N60" i="14"/>
  <c r="N47" i="14"/>
  <c r="N36" i="14"/>
  <c r="N26" i="14"/>
  <c r="N16" i="14"/>
  <c r="N6" i="14"/>
  <c r="N68" i="14"/>
  <c r="N57" i="14"/>
  <c r="N46" i="14"/>
  <c r="N35" i="14"/>
  <c r="N67" i="14"/>
  <c r="N56" i="14"/>
  <c r="N45" i="14"/>
  <c r="N34" i="14"/>
  <c r="N24" i="14"/>
  <c r="N13" i="14"/>
  <c r="N21" i="14"/>
  <c r="J108" i="14"/>
  <c r="J98" i="14"/>
  <c r="J85" i="14"/>
  <c r="J76" i="14"/>
  <c r="J104" i="14"/>
  <c r="J95" i="14"/>
  <c r="J82" i="14"/>
  <c r="J73" i="14"/>
  <c r="J101" i="14"/>
  <c r="J88" i="14"/>
  <c r="J78" i="14"/>
  <c r="J107" i="14"/>
  <c r="J97" i="14"/>
  <c r="J84" i="14"/>
  <c r="J75" i="14"/>
  <c r="J79" i="14"/>
  <c r="J103" i="14"/>
  <c r="J94" i="14"/>
  <c r="J81" i="14"/>
  <c r="J99" i="14"/>
  <c r="J87" i="14"/>
  <c r="J77" i="14"/>
  <c r="J105" i="14"/>
  <c r="J96" i="14"/>
  <c r="J83" i="14"/>
  <c r="J74" i="14"/>
  <c r="J93" i="14"/>
  <c r="J102" i="14"/>
  <c r="J66" i="14"/>
  <c r="J61" i="14"/>
  <c r="J55" i="14"/>
  <c r="J48" i="14"/>
  <c r="J44" i="14"/>
  <c r="J37" i="14"/>
  <c r="J32" i="14"/>
  <c r="J27" i="14"/>
  <c r="J22" i="14"/>
  <c r="J17" i="14"/>
  <c r="J12" i="14"/>
  <c r="J7" i="14"/>
  <c r="J6" i="14"/>
  <c r="J65" i="14"/>
  <c r="J60" i="14"/>
  <c r="J54" i="14"/>
  <c r="J47" i="14"/>
  <c r="J43" i="14"/>
  <c r="J36" i="14"/>
  <c r="J31" i="14"/>
  <c r="J26" i="14"/>
  <c r="J21" i="14"/>
  <c r="J16" i="14"/>
  <c r="J11" i="14"/>
  <c r="J68" i="14"/>
  <c r="J64" i="14"/>
  <c r="J57" i="14"/>
  <c r="J52" i="14"/>
  <c r="J46" i="14"/>
  <c r="J41" i="14"/>
  <c r="J35" i="14"/>
  <c r="J29" i="14"/>
  <c r="J25" i="14"/>
  <c r="J20" i="14"/>
  <c r="J14" i="14"/>
  <c r="J10" i="14"/>
  <c r="J67" i="14"/>
  <c r="J62" i="14"/>
  <c r="J56" i="14"/>
  <c r="J50" i="14"/>
  <c r="J45" i="14"/>
  <c r="J40" i="14"/>
  <c r="J34" i="14"/>
  <c r="J28" i="14"/>
  <c r="J24" i="14"/>
  <c r="J18" i="14"/>
  <c r="J13" i="14"/>
  <c r="J8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43" i="13"/>
  <c r="M43" i="13"/>
  <c r="N43" i="13"/>
  <c r="O43" i="13"/>
  <c r="U43" i="13"/>
  <c r="W43" i="13"/>
  <c r="J106" i="14" l="1"/>
  <c r="O106" i="14"/>
  <c r="F106" i="14"/>
  <c r="O100" i="14"/>
  <c r="O92" i="14"/>
  <c r="F100" i="14"/>
  <c r="F92" i="14"/>
  <c r="N92" i="14"/>
  <c r="F63" i="14"/>
  <c r="N100" i="14"/>
  <c r="N106" i="14"/>
  <c r="J92" i="14"/>
  <c r="J100" i="14"/>
  <c r="L106" i="14"/>
  <c r="L92" i="14"/>
  <c r="L100" i="14"/>
  <c r="D43" i="13"/>
  <c r="D83" i="13"/>
  <c r="U93" i="17"/>
  <c r="V93" i="17"/>
  <c r="U92" i="17"/>
  <c r="V92" i="17"/>
  <c r="U10" i="17" l="1"/>
  <c r="V10" i="17"/>
  <c r="V91" i="17" l="1"/>
  <c r="U9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N77" i="13" l="1"/>
  <c r="N116" i="13"/>
  <c r="N49" i="13"/>
  <c r="N74" i="13"/>
  <c r="N34" i="13"/>
  <c r="N113" i="13"/>
  <c r="N36" i="13"/>
  <c r="N73" i="13"/>
  <c r="N115" i="13"/>
  <c r="N76" i="13"/>
  <c r="N114" i="13"/>
  <c r="N75" i="13"/>
  <c r="N117" i="13"/>
  <c r="N35" i="13"/>
  <c r="N89" i="13"/>
  <c r="F35" i="13"/>
  <c r="F114" i="13"/>
  <c r="F75" i="13"/>
  <c r="F77" i="13"/>
  <c r="F49" i="13"/>
  <c r="F73" i="13"/>
  <c r="F89" i="13"/>
  <c r="F116" i="13"/>
  <c r="F74" i="13"/>
  <c r="F34" i="13"/>
  <c r="F36" i="13"/>
  <c r="F113" i="13"/>
  <c r="F115" i="13"/>
  <c r="F117" i="13"/>
  <c r="F76" i="13"/>
  <c r="V35" i="13"/>
  <c r="V36" i="13"/>
  <c r="V113" i="13"/>
  <c r="V89" i="13"/>
  <c r="V115" i="13"/>
  <c r="V49" i="13"/>
  <c r="V73" i="13"/>
  <c r="V75" i="13"/>
  <c r="V117" i="13"/>
  <c r="V114" i="13"/>
  <c r="V74" i="13"/>
  <c r="V34" i="13"/>
  <c r="V77" i="13"/>
  <c r="V116" i="13"/>
  <c r="V76" i="13"/>
  <c r="T49" i="13"/>
  <c r="T35" i="13"/>
  <c r="T73" i="13"/>
  <c r="T114" i="13"/>
  <c r="T74" i="13"/>
  <c r="T76" i="13"/>
  <c r="T115" i="13"/>
  <c r="T117" i="13"/>
  <c r="T89" i="13"/>
  <c r="T75" i="13"/>
  <c r="T113" i="13"/>
  <c r="T34" i="13"/>
  <c r="T77" i="13"/>
  <c r="T36" i="13"/>
  <c r="T116" i="13"/>
  <c r="K115" i="13"/>
  <c r="K75" i="13"/>
  <c r="K116" i="13"/>
  <c r="K113" i="13"/>
  <c r="K76" i="13"/>
  <c r="K73" i="13"/>
  <c r="K36" i="13"/>
  <c r="K34" i="13"/>
  <c r="K35" i="13"/>
  <c r="K117" i="13"/>
  <c r="K77" i="13"/>
  <c r="K114" i="13"/>
  <c r="K89" i="13"/>
  <c r="K74" i="13"/>
  <c r="K49" i="13"/>
  <c r="J35" i="13"/>
  <c r="J77" i="13"/>
  <c r="J75" i="13"/>
  <c r="J117" i="13"/>
  <c r="J49" i="13"/>
  <c r="J36" i="13"/>
  <c r="J34" i="13"/>
  <c r="J115" i="13"/>
  <c r="J116" i="13"/>
  <c r="J114" i="13"/>
  <c r="J113" i="13"/>
  <c r="J89" i="13"/>
  <c r="J76" i="13"/>
  <c r="J74" i="13"/>
  <c r="J73" i="13"/>
  <c r="I117" i="13"/>
  <c r="I76" i="13"/>
  <c r="I49" i="13"/>
  <c r="I114" i="13"/>
  <c r="I34" i="13"/>
  <c r="I73" i="13"/>
  <c r="I115" i="13"/>
  <c r="I77" i="13"/>
  <c r="I89" i="13"/>
  <c r="I116" i="13"/>
  <c r="I35" i="13"/>
  <c r="I74" i="13"/>
  <c r="I36" i="13"/>
  <c r="I75" i="13"/>
  <c r="I113" i="13"/>
  <c r="G114" i="13"/>
  <c r="G74" i="13"/>
  <c r="G34" i="13"/>
  <c r="G75" i="13"/>
  <c r="G117" i="13"/>
  <c r="G116" i="13"/>
  <c r="G76" i="13"/>
  <c r="G36" i="13"/>
  <c r="G77" i="13"/>
  <c r="G89" i="13"/>
  <c r="G115" i="13"/>
  <c r="G49" i="13"/>
  <c r="G35" i="13"/>
  <c r="G113" i="13"/>
  <c r="G73" i="13"/>
  <c r="E35" i="13"/>
  <c r="E115" i="13"/>
  <c r="E74" i="13"/>
  <c r="E75" i="13"/>
  <c r="O115" i="13"/>
  <c r="O75" i="13"/>
  <c r="O117" i="13"/>
  <c r="O77" i="13"/>
  <c r="O114" i="13"/>
  <c r="O89" i="13"/>
  <c r="O74" i="13"/>
  <c r="O36" i="13"/>
  <c r="O34" i="13"/>
  <c r="O35" i="13"/>
  <c r="O116" i="13"/>
  <c r="O113" i="13"/>
  <c r="O76" i="13"/>
  <c r="O73" i="13"/>
  <c r="O49" i="13"/>
  <c r="E77" i="13"/>
  <c r="E49" i="13"/>
  <c r="E36" i="13"/>
  <c r="E116" i="13"/>
  <c r="E114" i="13"/>
  <c r="E113" i="13"/>
  <c r="E89" i="13"/>
  <c r="E76" i="13"/>
  <c r="E73" i="13"/>
  <c r="E117" i="13"/>
  <c r="E14" i="13"/>
  <c r="E34" i="13"/>
  <c r="W116" i="13"/>
  <c r="W113" i="13"/>
  <c r="W76" i="13"/>
  <c r="W73" i="13"/>
  <c r="W49" i="13"/>
  <c r="W34" i="13"/>
  <c r="W114" i="13"/>
  <c r="W89" i="13"/>
  <c r="W74" i="13"/>
  <c r="W36" i="13"/>
  <c r="M3" i="17"/>
  <c r="D35" i="13" l="1"/>
  <c r="D117" i="13"/>
  <c r="D115" i="13"/>
  <c r="D75" i="13"/>
  <c r="D74" i="13"/>
  <c r="D77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6" i="13"/>
  <c r="D113" i="13"/>
  <c r="D89" i="13"/>
  <c r="D49" i="13"/>
  <c r="D34" i="13"/>
  <c r="D73" i="13"/>
  <c r="D114" i="13"/>
  <c r="D36" i="13"/>
  <c r="D76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W110" i="13"/>
  <c r="W106" i="13"/>
  <c r="W101" i="13"/>
  <c r="W97" i="13"/>
  <c r="W93" i="13"/>
  <c r="W68" i="13"/>
  <c r="W63" i="13"/>
  <c r="W59" i="13"/>
  <c r="W55" i="13"/>
  <c r="W51" i="13"/>
  <c r="W32" i="13"/>
  <c r="W28" i="13"/>
  <c r="W23" i="13"/>
  <c r="W19" i="13"/>
  <c r="W15" i="13"/>
  <c r="W11" i="13"/>
  <c r="W109" i="13"/>
  <c r="W104" i="13"/>
  <c r="W100" i="13"/>
  <c r="W96" i="13"/>
  <c r="W92" i="13"/>
  <c r="W71" i="13"/>
  <c r="W67" i="13"/>
  <c r="W62" i="13"/>
  <c r="W58" i="13"/>
  <c r="W54" i="13"/>
  <c r="W50" i="13"/>
  <c r="W31" i="13"/>
  <c r="W27" i="13"/>
  <c r="W22" i="13"/>
  <c r="W18" i="13"/>
  <c r="W14" i="13"/>
  <c r="W107" i="13"/>
  <c r="W98" i="13"/>
  <c r="W94" i="13"/>
  <c r="W69" i="13"/>
  <c r="W60" i="13"/>
  <c r="W52" i="13"/>
  <c r="W29" i="13"/>
  <c r="W20" i="13"/>
  <c r="W12" i="13"/>
  <c r="W108" i="13"/>
  <c r="W103" i="13"/>
  <c r="W99" i="13"/>
  <c r="W95" i="13"/>
  <c r="W91" i="13"/>
  <c r="W70" i="13"/>
  <c r="W66" i="13"/>
  <c r="W61" i="13"/>
  <c r="W57" i="13"/>
  <c r="W53" i="13"/>
  <c r="W37" i="13"/>
  <c r="W30" i="13"/>
  <c r="W25" i="13"/>
  <c r="W21" i="13"/>
  <c r="W17" i="13"/>
  <c r="W13" i="13"/>
  <c r="W111" i="13"/>
  <c r="W102" i="13"/>
  <c r="W90" i="13"/>
  <c r="W64" i="13"/>
  <c r="W56" i="13"/>
  <c r="W24" i="13"/>
  <c r="W16" i="13"/>
  <c r="E118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7" i="13"/>
  <c r="T107" i="13"/>
  <c r="N107" i="13"/>
  <c r="K107" i="13"/>
  <c r="I107" i="13"/>
  <c r="F107" i="13"/>
  <c r="U106" i="13"/>
  <c r="O106" i="13"/>
  <c r="M106" i="13"/>
  <c r="J106" i="13"/>
  <c r="G106" i="13"/>
  <c r="E106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7" i="13"/>
  <c r="J107" i="13"/>
  <c r="E107" i="13"/>
  <c r="T106" i="13"/>
  <c r="K106" i="13"/>
  <c r="F106" i="13"/>
  <c r="U104" i="13"/>
  <c r="M104" i="13"/>
  <c r="G104" i="13"/>
  <c r="V103" i="13"/>
  <c r="N103" i="13"/>
  <c r="I103" i="13"/>
  <c r="O102" i="13"/>
  <c r="J102" i="13"/>
  <c r="E102" i="13"/>
  <c r="T101" i="13"/>
  <c r="K101" i="13"/>
  <c r="F101" i="13"/>
  <c r="U100" i="13"/>
  <c r="M100" i="13"/>
  <c r="G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E96" i="13"/>
  <c r="V95" i="13"/>
  <c r="T95" i="13"/>
  <c r="N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V91" i="13"/>
  <c r="T91" i="13"/>
  <c r="N91" i="13"/>
  <c r="K91" i="13"/>
  <c r="I91" i="13"/>
  <c r="F91" i="13"/>
  <c r="U90" i="13"/>
  <c r="O90" i="13"/>
  <c r="M90" i="13"/>
  <c r="J90" i="13"/>
  <c r="G90" i="13"/>
  <c r="E90" i="13"/>
  <c r="K118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7" i="13"/>
  <c r="M107" i="13"/>
  <c r="G107" i="13"/>
  <c r="V106" i="13"/>
  <c r="N106" i="13"/>
  <c r="I106" i="13"/>
  <c r="O104" i="13"/>
  <c r="J104" i="13"/>
  <c r="E104" i="13"/>
  <c r="T103" i="13"/>
  <c r="K103" i="13"/>
  <c r="F103" i="13"/>
  <c r="U102" i="13"/>
  <c r="M102" i="13"/>
  <c r="G102" i="13"/>
  <c r="V101" i="13"/>
  <c r="N101" i="13"/>
  <c r="I101" i="13"/>
  <c r="O100" i="13"/>
  <c r="J100" i="13"/>
  <c r="E100" i="13"/>
  <c r="U99" i="13"/>
  <c r="O99" i="13"/>
  <c r="M99" i="13"/>
  <c r="J99" i="13"/>
  <c r="G99" i="13"/>
  <c r="E99" i="13"/>
  <c r="V98" i="13"/>
  <c r="T98" i="13"/>
  <c r="N98" i="13"/>
  <c r="K98" i="13"/>
  <c r="I98" i="13"/>
  <c r="F98" i="13"/>
  <c r="U97" i="13"/>
  <c r="O97" i="13"/>
  <c r="M97" i="13"/>
  <c r="J97" i="13"/>
  <c r="G97" i="13"/>
  <c r="E97" i="13"/>
  <c r="V96" i="13"/>
  <c r="T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91" i="13"/>
  <c r="J91" i="13"/>
  <c r="E91" i="13"/>
  <c r="T90" i="13"/>
  <c r="K90" i="13"/>
  <c r="F90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U91" i="13"/>
  <c r="M91" i="13"/>
  <c r="G91" i="13"/>
  <c r="V90" i="13"/>
  <c r="N90" i="13"/>
  <c r="I90" i="13"/>
  <c r="O78" i="13"/>
  <c r="J78" i="13"/>
  <c r="E78" i="13"/>
  <c r="T71" i="13"/>
  <c r="K71" i="13"/>
  <c r="F71" i="13"/>
  <c r="U70" i="13"/>
  <c r="M70" i="13"/>
  <c r="G70" i="13"/>
  <c r="V69" i="13"/>
  <c r="N69" i="13"/>
  <c r="I69" i="13"/>
  <c r="O68" i="13"/>
  <c r="J68" i="13"/>
  <c r="E68" i="13"/>
  <c r="T67" i="13"/>
  <c r="K67" i="13"/>
  <c r="F67" i="13"/>
  <c r="U66" i="13"/>
  <c r="M66" i="13"/>
  <c r="G66" i="13"/>
  <c r="V64" i="13"/>
  <c r="N64" i="13"/>
  <c r="I64" i="13"/>
  <c r="O63" i="13"/>
  <c r="J63" i="13"/>
  <c r="E63" i="13"/>
  <c r="T62" i="13"/>
  <c r="K62" i="13"/>
  <c r="F62" i="13"/>
  <c r="U61" i="13"/>
  <c r="M61" i="13"/>
  <c r="G61" i="13"/>
  <c r="V60" i="13"/>
  <c r="N60" i="13"/>
  <c r="I60" i="13"/>
  <c r="O59" i="13"/>
  <c r="J59" i="13"/>
  <c r="E59" i="13"/>
  <c r="J71" i="13"/>
  <c r="T70" i="13"/>
  <c r="F70" i="13"/>
  <c r="M69" i="13"/>
  <c r="V68" i="13"/>
  <c r="I68" i="13"/>
  <c r="O67" i="13"/>
  <c r="E67" i="13"/>
  <c r="K66" i="13"/>
  <c r="U64" i="13"/>
  <c r="G64" i="13"/>
  <c r="N63" i="13"/>
  <c r="J62" i="13"/>
  <c r="T61" i="13"/>
  <c r="F61" i="13"/>
  <c r="M60" i="13"/>
  <c r="V59" i="13"/>
  <c r="I59" i="13"/>
  <c r="U58" i="13"/>
  <c r="M58" i="13"/>
  <c r="G58" i="13"/>
  <c r="V57" i="13"/>
  <c r="N57" i="13"/>
  <c r="I57" i="13"/>
  <c r="O56" i="13"/>
  <c r="J56" i="13"/>
  <c r="E56" i="13"/>
  <c r="T55" i="13"/>
  <c r="K55" i="13"/>
  <c r="F55" i="13"/>
  <c r="U54" i="13"/>
  <c r="M54" i="13"/>
  <c r="G54" i="13"/>
  <c r="V53" i="13"/>
  <c r="N53" i="13"/>
  <c r="I53" i="13"/>
  <c r="O52" i="13"/>
  <c r="N71" i="13"/>
  <c r="J70" i="13"/>
  <c r="T69" i="13"/>
  <c r="F69" i="13"/>
  <c r="M68" i="13"/>
  <c r="V67" i="13"/>
  <c r="I67" i="13"/>
  <c r="O66" i="13"/>
  <c r="E66" i="13"/>
  <c r="K64" i="13"/>
  <c r="U63" i="13"/>
  <c r="G63" i="13"/>
  <c r="N62" i="13"/>
  <c r="J61" i="13"/>
  <c r="T60" i="13"/>
  <c r="F60" i="13"/>
  <c r="M59" i="13"/>
  <c r="O71" i="13"/>
  <c r="K70" i="13"/>
  <c r="G69" i="13"/>
  <c r="T66" i="13"/>
  <c r="M64" i="13"/>
  <c r="I63" i="13"/>
  <c r="E62" i="13"/>
  <c r="U60" i="13"/>
  <c r="N59" i="13"/>
  <c r="O58" i="13"/>
  <c r="E58" i="13"/>
  <c r="K57" i="13"/>
  <c r="U56" i="13"/>
  <c r="G56" i="13"/>
  <c r="N55" i="13"/>
  <c r="J54" i="13"/>
  <c r="T53" i="13"/>
  <c r="F53" i="13"/>
  <c r="M52" i="13"/>
  <c r="G52" i="13"/>
  <c r="V51" i="13"/>
  <c r="N51" i="13"/>
  <c r="I51" i="13"/>
  <c r="O50" i="13"/>
  <c r="J50" i="13"/>
  <c r="E50" i="13"/>
  <c r="U71" i="13"/>
  <c r="G71" i="13"/>
  <c r="N70" i="13"/>
  <c r="J69" i="13"/>
  <c r="T68" i="13"/>
  <c r="F68" i="13"/>
  <c r="M67" i="13"/>
  <c r="V66" i="13"/>
  <c r="I66" i="13"/>
  <c r="O64" i="13"/>
  <c r="E64" i="13"/>
  <c r="K63" i="13"/>
  <c r="U62" i="13"/>
  <c r="G62" i="13"/>
  <c r="N61" i="13"/>
  <c r="J60" i="13"/>
  <c r="T59" i="13"/>
  <c r="F59" i="13"/>
  <c r="T58" i="13"/>
  <c r="K58" i="13"/>
  <c r="F58" i="13"/>
  <c r="U57" i="13"/>
  <c r="M57" i="13"/>
  <c r="G57" i="13"/>
  <c r="V56" i="13"/>
  <c r="N56" i="13"/>
  <c r="I56" i="13"/>
  <c r="O55" i="13"/>
  <c r="J55" i="13"/>
  <c r="E55" i="13"/>
  <c r="N54" i="13"/>
  <c r="J53" i="13"/>
  <c r="T52" i="13"/>
  <c r="F52" i="13"/>
  <c r="M51" i="13"/>
  <c r="V50" i="13"/>
  <c r="I50" i="13"/>
  <c r="K54" i="13"/>
  <c r="U53" i="13"/>
  <c r="G53" i="13"/>
  <c r="N52" i="13"/>
  <c r="J51" i="13"/>
  <c r="T50" i="13"/>
  <c r="F50" i="13"/>
  <c r="V71" i="13"/>
  <c r="I71" i="13"/>
  <c r="O70" i="13"/>
  <c r="E70" i="13"/>
  <c r="K69" i="13"/>
  <c r="U68" i="13"/>
  <c r="G68" i="13"/>
  <c r="N67" i="13"/>
  <c r="J66" i="13"/>
  <c r="T64" i="13"/>
  <c r="F64" i="13"/>
  <c r="M63" i="13"/>
  <c r="V62" i="13"/>
  <c r="I62" i="13"/>
  <c r="O61" i="13"/>
  <c r="E61" i="13"/>
  <c r="K60" i="13"/>
  <c r="U59" i="13"/>
  <c r="G59" i="13"/>
  <c r="E71" i="13"/>
  <c r="U69" i="13"/>
  <c r="N68" i="13"/>
  <c r="J67" i="13"/>
  <c r="F66" i="13"/>
  <c r="V63" i="13"/>
  <c r="O62" i="13"/>
  <c r="K61" i="13"/>
  <c r="G60" i="13"/>
  <c r="J58" i="13"/>
  <c r="T57" i="13"/>
  <c r="F57" i="13"/>
  <c r="M56" i="13"/>
  <c r="V55" i="13"/>
  <c r="I55" i="13"/>
  <c r="O54" i="13"/>
  <c r="E54" i="13"/>
  <c r="K53" i="13"/>
  <c r="U52" i="13"/>
  <c r="J52" i="13"/>
  <c r="E52" i="13"/>
  <c r="T51" i="13"/>
  <c r="K51" i="13"/>
  <c r="F51" i="13"/>
  <c r="U50" i="13"/>
  <c r="M50" i="13"/>
  <c r="G50" i="13"/>
  <c r="F78" i="13"/>
  <c r="M71" i="13"/>
  <c r="V70" i="13"/>
  <c r="I70" i="13"/>
  <c r="O69" i="13"/>
  <c r="E69" i="13"/>
  <c r="K68" i="13"/>
  <c r="U67" i="13"/>
  <c r="G67" i="13"/>
  <c r="N66" i="13"/>
  <c r="J64" i="13"/>
  <c r="T63" i="13"/>
  <c r="F63" i="13"/>
  <c r="M62" i="13"/>
  <c r="V61" i="13"/>
  <c r="I61" i="13"/>
  <c r="O60" i="13"/>
  <c r="E60" i="13"/>
  <c r="V58" i="13"/>
  <c r="I58" i="13"/>
  <c r="O57" i="13"/>
  <c r="E57" i="13"/>
  <c r="K56" i="13"/>
  <c r="U55" i="13"/>
  <c r="G55" i="13"/>
  <c r="I54" i="13"/>
  <c r="E53" i="13"/>
  <c r="U51" i="13"/>
  <c r="N50" i="13"/>
  <c r="F54" i="13"/>
  <c r="V52" i="13"/>
  <c r="O51" i="13"/>
  <c r="K50" i="13"/>
  <c r="K59" i="13"/>
  <c r="N58" i="13"/>
  <c r="J57" i="13"/>
  <c r="T56" i="13"/>
  <c r="F56" i="13"/>
  <c r="M55" i="13"/>
  <c r="V54" i="13"/>
  <c r="O53" i="13"/>
  <c r="K52" i="13"/>
  <c r="G51" i="13"/>
  <c r="T54" i="13"/>
  <c r="M53" i="13"/>
  <c r="I52" i="13"/>
  <c r="E51" i="13"/>
  <c r="V37" i="13"/>
  <c r="T37" i="13"/>
  <c r="N37" i="13"/>
  <c r="K37" i="13"/>
  <c r="I37" i="13"/>
  <c r="F37" i="13"/>
  <c r="V32" i="13"/>
  <c r="T32" i="13"/>
  <c r="N32" i="13"/>
  <c r="K32" i="13"/>
  <c r="I32" i="13"/>
  <c r="F32" i="13"/>
  <c r="U31" i="13"/>
  <c r="O31" i="13"/>
  <c r="M31" i="13"/>
  <c r="J31" i="13"/>
  <c r="G31" i="13"/>
  <c r="E31" i="13"/>
  <c r="V30" i="13"/>
  <c r="T30" i="13"/>
  <c r="N30" i="13"/>
  <c r="K30" i="13"/>
  <c r="I30" i="13"/>
  <c r="F30" i="13"/>
  <c r="U29" i="13"/>
  <c r="O29" i="13"/>
  <c r="M29" i="13"/>
  <c r="J29" i="13"/>
  <c r="G29" i="13"/>
  <c r="E29" i="13"/>
  <c r="V28" i="13"/>
  <c r="T28" i="13"/>
  <c r="N28" i="13"/>
  <c r="K28" i="13"/>
  <c r="I28" i="13"/>
  <c r="F28" i="13"/>
  <c r="U27" i="13"/>
  <c r="O27" i="13"/>
  <c r="M27" i="13"/>
  <c r="J27" i="13"/>
  <c r="G27" i="13"/>
  <c r="E27" i="13"/>
  <c r="V25" i="13"/>
  <c r="T25" i="13"/>
  <c r="N25" i="13"/>
  <c r="K25" i="13"/>
  <c r="I25" i="13"/>
  <c r="F25" i="13"/>
  <c r="U24" i="13"/>
  <c r="O24" i="13"/>
  <c r="M24" i="13"/>
  <c r="J24" i="13"/>
  <c r="G24" i="13"/>
  <c r="E24" i="13"/>
  <c r="V23" i="13"/>
  <c r="T23" i="13"/>
  <c r="N23" i="13"/>
  <c r="K23" i="13"/>
  <c r="I23" i="13"/>
  <c r="F23" i="13"/>
  <c r="U22" i="13"/>
  <c r="O22" i="13"/>
  <c r="M22" i="13"/>
  <c r="J22" i="13"/>
  <c r="G22" i="13"/>
  <c r="E22" i="13"/>
  <c r="V21" i="13"/>
  <c r="T21" i="13"/>
  <c r="N21" i="13"/>
  <c r="K21" i="13"/>
  <c r="I21" i="13"/>
  <c r="F21" i="13"/>
  <c r="O37" i="13"/>
  <c r="J37" i="13"/>
  <c r="E37" i="13"/>
  <c r="U32" i="13"/>
  <c r="M32" i="13"/>
  <c r="G32" i="13"/>
  <c r="V31" i="13"/>
  <c r="N31" i="13"/>
  <c r="I31" i="13"/>
  <c r="O30" i="13"/>
  <c r="J30" i="13"/>
  <c r="E30" i="13"/>
  <c r="T29" i="13"/>
  <c r="K29" i="13"/>
  <c r="F29" i="13"/>
  <c r="U28" i="13"/>
  <c r="M28" i="13"/>
  <c r="G28" i="13"/>
  <c r="V27" i="13"/>
  <c r="N27" i="13"/>
  <c r="I27" i="13"/>
  <c r="O25" i="13"/>
  <c r="J25" i="13"/>
  <c r="E25" i="13"/>
  <c r="T24" i="13"/>
  <c r="K24" i="13"/>
  <c r="F24" i="13"/>
  <c r="U23" i="13"/>
  <c r="M23" i="13"/>
  <c r="G23" i="13"/>
  <c r="V22" i="13"/>
  <c r="N22" i="13"/>
  <c r="I22" i="13"/>
  <c r="O21" i="13"/>
  <c r="J21" i="13"/>
  <c r="E21" i="13"/>
  <c r="U20" i="13"/>
  <c r="O20" i="13"/>
  <c r="M20" i="13"/>
  <c r="J20" i="13"/>
  <c r="G20" i="13"/>
  <c r="E20" i="13"/>
  <c r="V19" i="13"/>
  <c r="T19" i="13"/>
  <c r="N19" i="13"/>
  <c r="K19" i="13"/>
  <c r="I19" i="13"/>
  <c r="F19" i="13"/>
  <c r="U18" i="13"/>
  <c r="O18" i="13"/>
  <c r="M18" i="13"/>
  <c r="J18" i="13"/>
  <c r="G18" i="13"/>
  <c r="E18" i="13"/>
  <c r="V17" i="13"/>
  <c r="T17" i="13"/>
  <c r="N17" i="13"/>
  <c r="K17" i="13"/>
  <c r="I17" i="13"/>
  <c r="F17" i="13"/>
  <c r="O16" i="13"/>
  <c r="M16" i="13"/>
  <c r="J16" i="13"/>
  <c r="G16" i="13"/>
  <c r="E16" i="13"/>
  <c r="V15" i="13"/>
  <c r="T15" i="13"/>
  <c r="N15" i="13"/>
  <c r="K15" i="13"/>
  <c r="I15" i="13"/>
  <c r="F15" i="13"/>
  <c r="U14" i="13"/>
  <c r="O14" i="13"/>
  <c r="M14" i="13"/>
  <c r="M37" i="13"/>
  <c r="O32" i="13"/>
  <c r="E32" i="13"/>
  <c r="K31" i="13"/>
  <c r="U30" i="13"/>
  <c r="G30" i="13"/>
  <c r="N29" i="13"/>
  <c r="J28" i="13"/>
  <c r="T27" i="13"/>
  <c r="F27" i="13"/>
  <c r="M25" i="13"/>
  <c r="V24" i="13"/>
  <c r="I24" i="13"/>
  <c r="O23" i="13"/>
  <c r="E23" i="13"/>
  <c r="K22" i="13"/>
  <c r="U21" i="13"/>
  <c r="G21" i="13"/>
  <c r="T20" i="13"/>
  <c r="K20" i="13"/>
  <c r="F20" i="13"/>
  <c r="U19" i="13"/>
  <c r="M19" i="13"/>
  <c r="G19" i="13"/>
  <c r="V18" i="13"/>
  <c r="N18" i="13"/>
  <c r="I18" i="13"/>
  <c r="O17" i="13"/>
  <c r="J17" i="13"/>
  <c r="E17" i="13"/>
  <c r="T16" i="13"/>
  <c r="K16" i="13"/>
  <c r="F16" i="13"/>
  <c r="U15" i="13"/>
  <c r="M15" i="13"/>
  <c r="G15" i="13"/>
  <c r="V14" i="13"/>
  <c r="N14" i="13"/>
  <c r="J14" i="13"/>
  <c r="G14" i="13"/>
  <c r="V13" i="13"/>
  <c r="T13" i="13"/>
  <c r="N13" i="13"/>
  <c r="K13" i="13"/>
  <c r="I13" i="13"/>
  <c r="F13" i="13"/>
  <c r="U12" i="13"/>
  <c r="O12" i="13"/>
  <c r="M12" i="13"/>
  <c r="J12" i="13"/>
  <c r="G12" i="13"/>
  <c r="E12" i="13"/>
  <c r="U37" i="13"/>
  <c r="G37" i="13"/>
  <c r="J32" i="13"/>
  <c r="T31" i="13"/>
  <c r="F31" i="13"/>
  <c r="M30" i="13"/>
  <c r="V29" i="13"/>
  <c r="I29" i="13"/>
  <c r="O28" i="13"/>
  <c r="E28" i="13"/>
  <c r="K27" i="13"/>
  <c r="U25" i="13"/>
  <c r="G25" i="13"/>
  <c r="N24" i="13"/>
  <c r="J23" i="13"/>
  <c r="T22" i="13"/>
  <c r="F22" i="13"/>
  <c r="M21" i="13"/>
  <c r="V20" i="13"/>
  <c r="N20" i="13"/>
  <c r="I20" i="13"/>
  <c r="O19" i="13"/>
  <c r="J19" i="13"/>
  <c r="E19" i="13"/>
  <c r="T18" i="13"/>
  <c r="K18" i="13"/>
  <c r="F18" i="13"/>
  <c r="U17" i="13"/>
  <c r="M17" i="13"/>
  <c r="G17" i="13"/>
  <c r="V16" i="13"/>
  <c r="N16" i="13"/>
  <c r="I16" i="13"/>
  <c r="O15" i="13"/>
  <c r="J15" i="13"/>
  <c r="E15" i="13"/>
  <c r="T14" i="13"/>
  <c r="K14" i="13"/>
  <c r="I14" i="13"/>
  <c r="F14" i="13"/>
  <c r="U13" i="13"/>
  <c r="O13" i="13"/>
  <c r="M13" i="13"/>
  <c r="J13" i="13"/>
  <c r="G13" i="13"/>
  <c r="E13" i="13"/>
  <c r="V12" i="13"/>
  <c r="T12" i="13"/>
  <c r="N12" i="13"/>
  <c r="K12" i="13"/>
  <c r="I12" i="13"/>
  <c r="F12" i="13"/>
  <c r="E11" i="13"/>
  <c r="G11" i="13"/>
  <c r="J11" i="13"/>
  <c r="M11" i="13"/>
  <c r="O11" i="13"/>
  <c r="U11" i="13"/>
  <c r="F11" i="13"/>
  <c r="I11" i="13"/>
  <c r="K11" i="13"/>
  <c r="N11" i="13"/>
  <c r="T11" i="13"/>
  <c r="V11" i="13"/>
  <c r="U133" i="17"/>
  <c r="V133" i="17"/>
  <c r="U134" i="17"/>
  <c r="V134" i="17"/>
  <c r="U135" i="17"/>
  <c r="V135" i="17"/>
  <c r="U136" i="17"/>
  <c r="V136" i="17"/>
  <c r="U137" i="17"/>
  <c r="V137" i="17"/>
  <c r="U138" i="17"/>
  <c r="V138" i="17"/>
  <c r="U140" i="17"/>
  <c r="V140" i="17"/>
  <c r="U141" i="17"/>
  <c r="V141" i="17"/>
  <c r="U142" i="17"/>
  <c r="V142" i="17"/>
  <c r="U143" i="17"/>
  <c r="V143" i="17"/>
  <c r="U144" i="17"/>
  <c r="V144" i="17"/>
  <c r="H87" i="13" l="1"/>
  <c r="H88" i="13" s="1"/>
  <c r="H71" i="14"/>
  <c r="H58" i="14"/>
  <c r="H38" i="14"/>
  <c r="H4" i="14"/>
  <c r="E38" i="13"/>
  <c r="D37" i="13"/>
  <c r="I105" i="13"/>
  <c r="V105" i="13"/>
  <c r="V26" i="13"/>
  <c r="N26" i="13"/>
  <c r="I26" i="13"/>
  <c r="U26" i="13"/>
  <c r="M26" i="13"/>
  <c r="G26" i="13"/>
  <c r="D13" i="13"/>
  <c r="D15" i="13"/>
  <c r="D19" i="13"/>
  <c r="D28" i="13"/>
  <c r="K65" i="13"/>
  <c r="U65" i="13"/>
  <c r="N65" i="13"/>
  <c r="G65" i="13"/>
  <c r="F65" i="13"/>
  <c r="V65" i="13"/>
  <c r="J65" i="13"/>
  <c r="F105" i="13"/>
  <c r="T105" i="13"/>
  <c r="E105" i="13"/>
  <c r="J105" i="13"/>
  <c r="O105" i="13"/>
  <c r="M65" i="13"/>
  <c r="T65" i="13"/>
  <c r="I65" i="13"/>
  <c r="E65" i="13"/>
  <c r="O65" i="13"/>
  <c r="N105" i="13"/>
  <c r="K105" i="13"/>
  <c r="G105" i="13"/>
  <c r="M105" i="13"/>
  <c r="U105" i="13"/>
  <c r="W105" i="13"/>
  <c r="W65" i="13"/>
  <c r="J38" i="13"/>
  <c r="E72" i="13"/>
  <c r="W26" i="13"/>
  <c r="T26" i="13"/>
  <c r="K26" i="13"/>
  <c r="F26" i="13"/>
  <c r="O26" i="13"/>
  <c r="J26" i="13"/>
  <c r="E26" i="13"/>
  <c r="D17" i="13"/>
  <c r="D18" i="13"/>
  <c r="D20" i="13"/>
  <c r="D21" i="13"/>
  <c r="D25" i="13"/>
  <c r="D30" i="13"/>
  <c r="D11" i="13"/>
  <c r="D12" i="13"/>
  <c r="D14" i="13"/>
  <c r="D23" i="13"/>
  <c r="D32" i="13"/>
  <c r="D16" i="13"/>
  <c r="D22" i="13"/>
  <c r="D24" i="13"/>
  <c r="D27" i="13"/>
  <c r="D29" i="13"/>
  <c r="D31" i="13"/>
  <c r="D90" i="13"/>
  <c r="D51" i="13"/>
  <c r="D54" i="13"/>
  <c r="D71" i="13"/>
  <c r="D97" i="13"/>
  <c r="D99" i="13"/>
  <c r="D100" i="13"/>
  <c r="D104" i="13"/>
  <c r="D109" i="13"/>
  <c r="D57" i="13"/>
  <c r="D60" i="13"/>
  <c r="D69" i="13"/>
  <c r="D61" i="13"/>
  <c r="D70" i="13"/>
  <c r="D64" i="13"/>
  <c r="D50" i="13"/>
  <c r="D56" i="13"/>
  <c r="D59" i="13"/>
  <c r="D63" i="13"/>
  <c r="D68" i="13"/>
  <c r="D93" i="13"/>
  <c r="D91" i="13"/>
  <c r="D95" i="13"/>
  <c r="D53" i="13"/>
  <c r="D52" i="13"/>
  <c r="D55" i="13"/>
  <c r="D58" i="13"/>
  <c r="D62" i="13"/>
  <c r="D66" i="13"/>
  <c r="D67" i="13"/>
  <c r="D92" i="13"/>
  <c r="D94" i="13"/>
  <c r="D96" i="13"/>
  <c r="D98" i="13"/>
  <c r="D102" i="13"/>
  <c r="D107" i="13"/>
  <c r="D111" i="13"/>
  <c r="D101" i="13"/>
  <c r="D103" i="13"/>
  <c r="D106" i="13"/>
  <c r="D108" i="13"/>
  <c r="D110" i="13"/>
  <c r="E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1" i="17"/>
  <c r="V42" i="17"/>
  <c r="V43" i="17"/>
  <c r="V44" i="17"/>
  <c r="V45" i="17"/>
  <c r="V46" i="17"/>
  <c r="V47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5" i="17"/>
  <c r="V76" i="17"/>
  <c r="V77" i="17"/>
  <c r="V80" i="17"/>
  <c r="V82" i="17"/>
  <c r="V85" i="17"/>
  <c r="V87" i="17"/>
  <c r="V90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119" i="17"/>
  <c r="V120" i="17"/>
  <c r="V121" i="17"/>
  <c r="V122" i="17"/>
  <c r="V123" i="17"/>
  <c r="V124" i="17"/>
  <c r="V125" i="17"/>
  <c r="V126" i="17"/>
  <c r="V127" i="17"/>
  <c r="V128" i="17"/>
  <c r="V131" i="17"/>
  <c r="V132" i="17"/>
  <c r="V5" i="17"/>
  <c r="H47" i="13" l="1"/>
  <c r="H48" i="13" s="1"/>
  <c r="H3" i="14"/>
  <c r="E39" i="13"/>
  <c r="E6" i="13"/>
  <c r="F86" i="14"/>
  <c r="W86" i="14"/>
  <c r="O86" i="14"/>
  <c r="U86" i="14"/>
  <c r="M86" i="14"/>
  <c r="H9" i="13" l="1"/>
  <c r="H10" i="13" s="1"/>
  <c r="F59" i="14"/>
  <c r="N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5" i="17"/>
  <c r="N75" i="17"/>
  <c r="M76" i="17"/>
  <c r="N76" i="17"/>
  <c r="M77" i="17"/>
  <c r="N77" i="17"/>
  <c r="M80" i="17"/>
  <c r="N80" i="17"/>
  <c r="M82" i="17"/>
  <c r="N82" i="17"/>
  <c r="M85" i="17"/>
  <c r="N85" i="17"/>
  <c r="M87" i="17"/>
  <c r="N87" i="17"/>
  <c r="M90" i="17"/>
  <c r="N90" i="17"/>
  <c r="M91" i="17"/>
  <c r="N91" i="17"/>
  <c r="M92" i="17"/>
  <c r="N92" i="17"/>
  <c r="M93" i="17"/>
  <c r="N93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51" i="17"/>
  <c r="N151" i="17"/>
  <c r="M153" i="17"/>
  <c r="N153" i="17"/>
  <c r="M155" i="17"/>
  <c r="N155" i="17"/>
  <c r="M156" i="17"/>
  <c r="N156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58" i="17"/>
  <c r="N158" i="17"/>
  <c r="M161" i="17"/>
  <c r="N161" i="17"/>
  <c r="M173" i="17"/>
  <c r="N173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M502" i="17"/>
  <c r="N502" i="17"/>
  <c r="M503" i="17"/>
  <c r="N503" i="17"/>
  <c r="M504" i="17"/>
  <c r="N504" i="17"/>
  <c r="M505" i="17"/>
  <c r="N505" i="17"/>
  <c r="M506" i="17"/>
  <c r="N506" i="17"/>
  <c r="M507" i="17"/>
  <c r="N507" i="17"/>
  <c r="M508" i="17"/>
  <c r="N508" i="17"/>
  <c r="M509" i="17"/>
  <c r="N509" i="17"/>
  <c r="M510" i="17"/>
  <c r="N510" i="17"/>
  <c r="M511" i="17"/>
  <c r="N511" i="17"/>
  <c r="M512" i="17"/>
  <c r="N512" i="17"/>
  <c r="M513" i="17"/>
  <c r="N513" i="17"/>
  <c r="M514" i="17"/>
  <c r="N514" i="17"/>
  <c r="M515" i="17"/>
  <c r="N515" i="17"/>
  <c r="M516" i="17"/>
  <c r="N516" i="17"/>
  <c r="M517" i="17"/>
  <c r="N517" i="17"/>
  <c r="M518" i="17"/>
  <c r="N518" i="17"/>
  <c r="M519" i="17"/>
  <c r="N519" i="17"/>
  <c r="M520" i="17"/>
  <c r="N520" i="17"/>
  <c r="M521" i="17"/>
  <c r="N521" i="17"/>
  <c r="M522" i="17"/>
  <c r="N522" i="17"/>
  <c r="M523" i="17"/>
  <c r="N523" i="17"/>
  <c r="M524" i="17"/>
  <c r="N524" i="17"/>
  <c r="M525" i="17"/>
  <c r="N525" i="17"/>
  <c r="N3" i="17"/>
  <c r="U9" i="17"/>
  <c r="U12" i="17"/>
  <c r="U27" i="17"/>
  <c r="U37" i="17"/>
  <c r="U75" i="17"/>
  <c r="U39" i="17"/>
  <c r="U103" i="17"/>
  <c r="U33" i="17"/>
  <c r="U11" i="17"/>
  <c r="U18" i="17"/>
  <c r="U28" i="17"/>
  <c r="U77" i="17"/>
  <c r="U106" i="17"/>
  <c r="U13" i="17"/>
  <c r="U15" i="17"/>
  <c r="U30" i="17"/>
  <c r="U31" i="17"/>
  <c r="U34" i="17"/>
  <c r="U36" i="17"/>
  <c r="U45" i="17"/>
  <c r="U46" i="17"/>
  <c r="U58" i="17"/>
  <c r="U107" i="17"/>
  <c r="U109" i="17"/>
  <c r="U115" i="17"/>
  <c r="U16" i="17"/>
  <c r="U17" i="17"/>
  <c r="U19" i="17"/>
  <c r="U22" i="17"/>
  <c r="U23" i="17"/>
  <c r="U24" i="17"/>
  <c r="U29" i="17"/>
  <c r="U60" i="17"/>
  <c r="U64" i="17"/>
  <c r="U71" i="17"/>
  <c r="U73" i="17"/>
  <c r="U110" i="17"/>
  <c r="U120" i="17"/>
  <c r="U25" i="17"/>
  <c r="U26" i="17"/>
  <c r="U21" i="17"/>
  <c r="U54" i="17"/>
  <c r="U108" i="17"/>
  <c r="U122" i="17"/>
  <c r="U125" i="17"/>
  <c r="U66" i="17"/>
  <c r="U7" i="17"/>
  <c r="U14" i="17"/>
  <c r="U70" i="17"/>
  <c r="U99" i="17"/>
  <c r="U112" i="17"/>
  <c r="U35" i="17"/>
  <c r="U53" i="17"/>
  <c r="U62" i="17"/>
  <c r="U100" i="17"/>
  <c r="U123" i="17"/>
  <c r="U128" i="17"/>
  <c r="U32" i="17"/>
  <c r="U47" i="17"/>
  <c r="U55" i="17"/>
  <c r="U49" i="17"/>
  <c r="U116" i="17"/>
  <c r="U126" i="17"/>
  <c r="U67" i="17"/>
  <c r="U6" i="17"/>
  <c r="U8" i="17"/>
  <c r="U38" i="17"/>
  <c r="U42" i="17"/>
  <c r="U43" i="17"/>
  <c r="U72" i="17"/>
  <c r="U76" i="17"/>
  <c r="U82" i="17"/>
  <c r="U85" i="17"/>
  <c r="U87" i="17"/>
  <c r="U90" i="17"/>
  <c r="U96" i="17"/>
  <c r="U98" i="17"/>
  <c r="U101" i="17"/>
  <c r="U104" i="17"/>
  <c r="U105" i="17"/>
  <c r="U111" i="17"/>
  <c r="U113" i="17"/>
  <c r="U118" i="17"/>
  <c r="U119" i="17"/>
  <c r="U121" i="17"/>
  <c r="U124" i="17"/>
  <c r="U132" i="17"/>
  <c r="U68" i="17"/>
  <c r="U80" i="17"/>
  <c r="U114" i="17"/>
  <c r="U117" i="17"/>
  <c r="U102" i="17"/>
  <c r="U20" i="17"/>
  <c r="U63" i="17"/>
  <c r="U56" i="17"/>
  <c r="U50" i="17"/>
  <c r="U51" i="17"/>
  <c r="U59" i="17"/>
  <c r="U61" i="17"/>
  <c r="U127" i="17"/>
  <c r="U41" i="17"/>
  <c r="U44" i="17"/>
  <c r="U69" i="17"/>
  <c r="U97" i="17"/>
  <c r="U131" i="17"/>
  <c r="U52" i="17"/>
  <c r="U57" i="17"/>
  <c r="U65" i="17"/>
  <c r="U5" i="17"/>
  <c r="K108" i="14" l="1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K66" i="14"/>
  <c r="K55" i="14"/>
  <c r="K44" i="14"/>
  <c r="K32" i="14"/>
  <c r="K22" i="14"/>
  <c r="K67" i="14"/>
  <c r="K56" i="14"/>
  <c r="K45" i="14"/>
  <c r="K34" i="14"/>
  <c r="K24" i="14"/>
  <c r="K13" i="14"/>
  <c r="K68" i="14"/>
  <c r="K57" i="14"/>
  <c r="K46" i="14"/>
  <c r="K35" i="14"/>
  <c r="K25" i="14"/>
  <c r="K14" i="14"/>
  <c r="K8" i="14"/>
  <c r="K12" i="14"/>
  <c r="K60" i="14"/>
  <c r="K47" i="14"/>
  <c r="K36" i="14"/>
  <c r="K26" i="14"/>
  <c r="K16" i="14"/>
  <c r="K6" i="14"/>
  <c r="K21" i="14"/>
  <c r="K11" i="14"/>
  <c r="K61" i="14"/>
  <c r="K48" i="14"/>
  <c r="K37" i="14"/>
  <c r="K27" i="14"/>
  <c r="K17" i="14"/>
  <c r="K7" i="14"/>
  <c r="K28" i="14"/>
  <c r="K18" i="14"/>
  <c r="K62" i="14"/>
  <c r="K50" i="14"/>
  <c r="K40" i="14"/>
  <c r="K64" i="14"/>
  <c r="K52" i="14"/>
  <c r="K41" i="14"/>
  <c r="K29" i="14"/>
  <c r="K20" i="14"/>
  <c r="K10" i="14"/>
  <c r="K65" i="14"/>
  <c r="K54" i="14"/>
  <c r="K43" i="14"/>
  <c r="K31" i="14"/>
  <c r="T108" i="14"/>
  <c r="T107" i="14"/>
  <c r="T105" i="14"/>
  <c r="T104" i="14"/>
  <c r="T103" i="14"/>
  <c r="T102" i="14"/>
  <c r="T101" i="14"/>
  <c r="T99" i="14"/>
  <c r="T98" i="14"/>
  <c r="T97" i="14"/>
  <c r="T96" i="14"/>
  <c r="T95" i="14"/>
  <c r="T94" i="14"/>
  <c r="T93" i="14"/>
  <c r="T88" i="14"/>
  <c r="T87" i="14"/>
  <c r="T85" i="14"/>
  <c r="T84" i="14"/>
  <c r="T83" i="14"/>
  <c r="T82" i="14"/>
  <c r="T81" i="14"/>
  <c r="T79" i="14"/>
  <c r="T78" i="14"/>
  <c r="T77" i="14"/>
  <c r="T76" i="14"/>
  <c r="T75" i="14"/>
  <c r="T74" i="14"/>
  <c r="T73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T65" i="14"/>
  <c r="T54" i="14"/>
  <c r="T43" i="14"/>
  <c r="T31" i="14"/>
  <c r="T21" i="14"/>
  <c r="T66" i="14"/>
  <c r="T55" i="14"/>
  <c r="T44" i="14"/>
  <c r="T32" i="14"/>
  <c r="T22" i="14"/>
  <c r="T12" i="14"/>
  <c r="T67" i="14"/>
  <c r="T56" i="14"/>
  <c r="T45" i="14"/>
  <c r="T34" i="14"/>
  <c r="T24" i="14"/>
  <c r="T13" i="14"/>
  <c r="T68" i="14"/>
  <c r="T57" i="14"/>
  <c r="T46" i="14"/>
  <c r="T35" i="14"/>
  <c r="T25" i="14"/>
  <c r="T14" i="14"/>
  <c r="T7" i="14"/>
  <c r="T60" i="14"/>
  <c r="T47" i="14"/>
  <c r="T36" i="14"/>
  <c r="T26" i="14"/>
  <c r="T16" i="14"/>
  <c r="T6" i="14"/>
  <c r="T27" i="14"/>
  <c r="T11" i="14"/>
  <c r="T61" i="14"/>
  <c r="T48" i="14"/>
  <c r="T37" i="14"/>
  <c r="T17" i="14"/>
  <c r="T62" i="14"/>
  <c r="T50" i="14"/>
  <c r="T40" i="14"/>
  <c r="T28" i="14"/>
  <c r="T18" i="14"/>
  <c r="T8" i="14"/>
  <c r="T64" i="14"/>
  <c r="T52" i="14"/>
  <c r="T41" i="14"/>
  <c r="T29" i="14"/>
  <c r="T20" i="14"/>
  <c r="T10" i="14"/>
  <c r="G62" i="14"/>
  <c r="G50" i="14"/>
  <c r="G49" i="14" s="1"/>
  <c r="G40" i="14"/>
  <c r="G28" i="14"/>
  <c r="G18" i="14"/>
  <c r="G64" i="14"/>
  <c r="G52" i="14"/>
  <c r="G41" i="14"/>
  <c r="G29" i="14"/>
  <c r="G20" i="14"/>
  <c r="G10" i="14"/>
  <c r="G65" i="14"/>
  <c r="G54" i="14"/>
  <c r="G43" i="14"/>
  <c r="G31" i="14"/>
  <c r="G21" i="14"/>
  <c r="G11" i="14"/>
  <c r="G66" i="14"/>
  <c r="G55" i="14"/>
  <c r="G44" i="14"/>
  <c r="G32" i="14"/>
  <c r="G22" i="14"/>
  <c r="G12" i="14"/>
  <c r="G8" i="14"/>
  <c r="G67" i="14"/>
  <c r="G56" i="14"/>
  <c r="G45" i="14"/>
  <c r="G34" i="14"/>
  <c r="G24" i="14"/>
  <c r="G13" i="14"/>
  <c r="G14" i="14"/>
  <c r="G7" i="14"/>
  <c r="G68" i="14"/>
  <c r="G57" i="14"/>
  <c r="G46" i="14"/>
  <c r="G35" i="14"/>
  <c r="G25" i="14"/>
  <c r="G60" i="14"/>
  <c r="G47" i="14"/>
  <c r="G36" i="14"/>
  <c r="G26" i="14"/>
  <c r="G16" i="14"/>
  <c r="G6" i="14"/>
  <c r="G27" i="14"/>
  <c r="G61" i="14"/>
  <c r="G48" i="14"/>
  <c r="G37" i="14"/>
  <c r="G1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4" i="14"/>
  <c r="I52" i="14"/>
  <c r="I41" i="14"/>
  <c r="I29" i="14"/>
  <c r="I20" i="14"/>
  <c r="I65" i="14"/>
  <c r="I54" i="14"/>
  <c r="I43" i="14"/>
  <c r="I31" i="14"/>
  <c r="I21" i="14"/>
  <c r="I11" i="14"/>
  <c r="I66" i="14"/>
  <c r="I55" i="14"/>
  <c r="I44" i="14"/>
  <c r="I32" i="14"/>
  <c r="I22" i="14"/>
  <c r="I12" i="14"/>
  <c r="I10" i="14"/>
  <c r="I67" i="14"/>
  <c r="I56" i="14"/>
  <c r="I45" i="14"/>
  <c r="I34" i="14"/>
  <c r="I24" i="14"/>
  <c r="I13" i="14"/>
  <c r="I6" i="14"/>
  <c r="I18" i="14"/>
  <c r="I8" i="14"/>
  <c r="I68" i="14"/>
  <c r="I57" i="14"/>
  <c r="I46" i="14"/>
  <c r="I35" i="14"/>
  <c r="I25" i="14"/>
  <c r="I14" i="14"/>
  <c r="I16" i="14"/>
  <c r="I60" i="14"/>
  <c r="I47" i="14"/>
  <c r="I36" i="14"/>
  <c r="I26" i="14"/>
  <c r="I61" i="14"/>
  <c r="I48" i="14"/>
  <c r="I37" i="14"/>
  <c r="I27" i="14"/>
  <c r="I17" i="14"/>
  <c r="I7" i="14"/>
  <c r="I62" i="14"/>
  <c r="I50" i="14"/>
  <c r="I40" i="14"/>
  <c r="I28" i="14"/>
  <c r="V108" i="14"/>
  <c r="V107" i="14"/>
  <c r="V105" i="14"/>
  <c r="V104" i="14"/>
  <c r="V103" i="14"/>
  <c r="V102" i="14"/>
  <c r="V101" i="14"/>
  <c r="V99" i="14"/>
  <c r="V98" i="14"/>
  <c r="V97" i="14"/>
  <c r="V96" i="14"/>
  <c r="V95" i="14"/>
  <c r="V94" i="14"/>
  <c r="V93" i="14"/>
  <c r="V88" i="14"/>
  <c r="V87" i="14"/>
  <c r="V85" i="14"/>
  <c r="V84" i="14"/>
  <c r="V83" i="14"/>
  <c r="V82" i="14"/>
  <c r="V81" i="14"/>
  <c r="V79" i="14"/>
  <c r="V78" i="14"/>
  <c r="V77" i="14"/>
  <c r="V76" i="14"/>
  <c r="V75" i="14"/>
  <c r="V74" i="14"/>
  <c r="V73" i="14"/>
  <c r="V67" i="14"/>
  <c r="V56" i="14"/>
  <c r="V45" i="14"/>
  <c r="V34" i="14"/>
  <c r="V24" i="14"/>
  <c r="V68" i="14"/>
  <c r="V57" i="14"/>
  <c r="V46" i="14"/>
  <c r="V35" i="14"/>
  <c r="V25" i="14"/>
  <c r="V14" i="14"/>
  <c r="V60" i="14"/>
  <c r="V47" i="14"/>
  <c r="V36" i="14"/>
  <c r="V26" i="14"/>
  <c r="V16" i="14"/>
  <c r="V6" i="14"/>
  <c r="V61" i="14"/>
  <c r="V48" i="14"/>
  <c r="V37" i="14"/>
  <c r="V27" i="14"/>
  <c r="V17" i="14"/>
  <c r="V7" i="14"/>
  <c r="V10" i="14"/>
  <c r="V62" i="14"/>
  <c r="V50" i="14"/>
  <c r="V40" i="14"/>
  <c r="V28" i="14"/>
  <c r="V18" i="14"/>
  <c r="V8" i="14"/>
  <c r="V29" i="14"/>
  <c r="V13" i="14"/>
  <c r="V64" i="14"/>
  <c r="V52" i="14"/>
  <c r="V41" i="14"/>
  <c r="V20" i="14"/>
  <c r="V12" i="14"/>
  <c r="V65" i="14"/>
  <c r="V54" i="14"/>
  <c r="V43" i="14"/>
  <c r="V31" i="14"/>
  <c r="V21" i="14"/>
  <c r="V11" i="14"/>
  <c r="V66" i="14"/>
  <c r="V55" i="14"/>
  <c r="V44" i="14"/>
  <c r="V32" i="14"/>
  <c r="V22" i="14"/>
  <c r="E108" i="14"/>
  <c r="E98" i="14"/>
  <c r="E85" i="14"/>
  <c r="E76" i="14"/>
  <c r="E107" i="14"/>
  <c r="E97" i="14"/>
  <c r="E84" i="14"/>
  <c r="E75" i="14"/>
  <c r="E105" i="14"/>
  <c r="E96" i="14"/>
  <c r="E83" i="14"/>
  <c r="E74" i="14"/>
  <c r="E104" i="14"/>
  <c r="E95" i="14"/>
  <c r="E82" i="14"/>
  <c r="E73" i="14"/>
  <c r="E103" i="14"/>
  <c r="E94" i="14"/>
  <c r="E81" i="14"/>
  <c r="E102" i="14"/>
  <c r="E93" i="14"/>
  <c r="E79" i="14"/>
  <c r="E101" i="14"/>
  <c r="E88" i="14"/>
  <c r="E78" i="14"/>
  <c r="E99" i="14"/>
  <c r="E87" i="14"/>
  <c r="E77" i="14"/>
  <c r="E68" i="14"/>
  <c r="E57" i="14"/>
  <c r="E46" i="14"/>
  <c r="E35" i="14"/>
  <c r="E25" i="14"/>
  <c r="E14" i="14"/>
  <c r="E6" i="14"/>
  <c r="E67" i="14"/>
  <c r="E56" i="14"/>
  <c r="E45" i="14"/>
  <c r="E34" i="14"/>
  <c r="E24" i="14"/>
  <c r="E13" i="14"/>
  <c r="E47" i="14"/>
  <c r="E66" i="14"/>
  <c r="E55" i="14"/>
  <c r="E44" i="14"/>
  <c r="E32" i="14"/>
  <c r="E22" i="14"/>
  <c r="E12" i="14"/>
  <c r="E26" i="14"/>
  <c r="E65" i="14"/>
  <c r="E54" i="14"/>
  <c r="E43" i="14"/>
  <c r="E31" i="14"/>
  <c r="E21" i="14"/>
  <c r="E11" i="14"/>
  <c r="E64" i="14"/>
  <c r="E52" i="14"/>
  <c r="E41" i="14"/>
  <c r="E29" i="14"/>
  <c r="E20" i="14"/>
  <c r="E10" i="14"/>
  <c r="E16" i="14"/>
  <c r="E62" i="14"/>
  <c r="E50" i="14"/>
  <c r="E49" i="14" s="1"/>
  <c r="E40" i="14"/>
  <c r="E28" i="14"/>
  <c r="E18" i="14"/>
  <c r="E8" i="14"/>
  <c r="E60" i="14"/>
  <c r="E61" i="14"/>
  <c r="E48" i="14"/>
  <c r="E37" i="14"/>
  <c r="E27" i="14"/>
  <c r="E17" i="14"/>
  <c r="E7" i="14"/>
  <c r="E36" i="14"/>
  <c r="S106" i="14"/>
  <c r="S51" i="14"/>
  <c r="S49" i="14"/>
  <c r="S39" i="14"/>
  <c r="L86" i="14"/>
  <c r="L72" i="14"/>
  <c r="L51" i="14"/>
  <c r="N86" i="14"/>
  <c r="D67" i="14" l="1"/>
  <c r="G9" i="14"/>
  <c r="D83" i="14"/>
  <c r="I86" i="14"/>
  <c r="D37" i="14"/>
  <c r="D95" i="14"/>
  <c r="D29" i="14"/>
  <c r="D103" i="14"/>
  <c r="D45" i="14"/>
  <c r="D85" i="14"/>
  <c r="D36" i="14"/>
  <c r="D18" i="14"/>
  <c r="D6" i="14"/>
  <c r="D65" i="14"/>
  <c r="D17" i="14"/>
  <c r="D43" i="14"/>
  <c r="D55" i="14"/>
  <c r="D47" i="14"/>
  <c r="D27" i="14"/>
  <c r="D108" i="14"/>
  <c r="D28" i="14"/>
  <c r="D62" i="14"/>
  <c r="D32" i="14"/>
  <c r="D31" i="14"/>
  <c r="D68" i="14"/>
  <c r="K86" i="14"/>
  <c r="D41" i="14"/>
  <c r="D35" i="14"/>
  <c r="V86" i="14"/>
  <c r="G86" i="14"/>
  <c r="T86" i="14"/>
  <c r="D60" i="14"/>
  <c r="K106" i="14"/>
  <c r="D25" i="14"/>
  <c r="D102" i="14"/>
  <c r="D26" i="14"/>
  <c r="D44" i="14"/>
  <c r="D75" i="14"/>
  <c r="I106" i="14"/>
  <c r="D16" i="14"/>
  <c r="D57" i="14"/>
  <c r="D66" i="14"/>
  <c r="D54" i="14"/>
  <c r="D48" i="14"/>
  <c r="D21" i="14"/>
  <c r="D22" i="14"/>
  <c r="D56" i="14"/>
  <c r="D61" i="14"/>
  <c r="D20" i="14"/>
  <c r="K100" i="14"/>
  <c r="K92" i="14"/>
  <c r="D46" i="14"/>
  <c r="V59" i="14"/>
  <c r="K59" i="14"/>
  <c r="V100" i="14"/>
  <c r="G100" i="14"/>
  <c r="V92" i="14"/>
  <c r="G92" i="14"/>
  <c r="T106" i="14"/>
  <c r="T59" i="14"/>
  <c r="I59" i="14"/>
  <c r="I100" i="14"/>
  <c r="T100" i="14"/>
  <c r="V106" i="14"/>
  <c r="I92" i="14"/>
  <c r="G59" i="14"/>
  <c r="G106" i="14"/>
  <c r="T92" i="14"/>
  <c r="E106" i="14"/>
  <c r="E39" i="14"/>
  <c r="E63" i="14"/>
  <c r="E30" i="14"/>
  <c r="E33" i="14"/>
  <c r="E100" i="14"/>
  <c r="E92" i="14"/>
  <c r="E4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91" i="14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L87" i="13" l="1"/>
  <c r="L88" i="13" s="1"/>
  <c r="L47" i="13"/>
  <c r="L48" i="13" s="1"/>
  <c r="S4" i="14"/>
  <c r="S38" i="14"/>
  <c r="S58" i="14"/>
  <c r="D59" i="14"/>
  <c r="L4" i="14"/>
  <c r="L58" i="14"/>
  <c r="L38" i="14"/>
  <c r="D86" i="14"/>
  <c r="S91" i="14"/>
  <c r="S71" i="14"/>
  <c r="G63" i="14"/>
  <c r="I63" i="14"/>
  <c r="K63" i="14"/>
  <c r="M63" i="14"/>
  <c r="N63" i="14"/>
  <c r="O63" i="14"/>
  <c r="T63" i="14"/>
  <c r="U63" i="14"/>
  <c r="V63" i="14"/>
  <c r="W63" i="14"/>
  <c r="S87" i="13" l="1"/>
  <c r="S88" i="13" s="1"/>
  <c r="S47" i="13"/>
  <c r="S48" i="13" s="1"/>
  <c r="S3" i="14"/>
  <c r="L3" i="14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L9" i="13" l="1"/>
  <c r="L10" i="13" s="1"/>
  <c r="S9" i="13"/>
  <c r="S10" i="13" s="1"/>
  <c r="E38" i="14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G91" i="14"/>
  <c r="M91" i="14"/>
  <c r="U91" i="14"/>
  <c r="G71" i="14"/>
  <c r="M71" i="14"/>
  <c r="U71" i="14"/>
  <c r="I71" i="14"/>
  <c r="N71" i="14"/>
  <c r="V71" i="14"/>
  <c r="I91" i="14"/>
  <c r="V91" i="14"/>
  <c r="E91" i="14"/>
  <c r="F71" i="14"/>
  <c r="K71" i="14"/>
  <c r="T71" i="14"/>
  <c r="J71" i="14"/>
  <c r="O71" i="14"/>
  <c r="W71" i="14"/>
  <c r="F91" i="14"/>
  <c r="K91" i="14"/>
  <c r="T91" i="14"/>
  <c r="J91" i="14"/>
  <c r="O91" i="14"/>
  <c r="W91" i="14"/>
  <c r="E71" i="14"/>
  <c r="D28" i="12"/>
  <c r="V58" i="14"/>
  <c r="N58" i="14"/>
  <c r="I58" i="14"/>
  <c r="E58" i="14"/>
  <c r="T58" i="14"/>
  <c r="K58" i="14"/>
  <c r="F58" i="14"/>
  <c r="F87" i="13" l="1"/>
  <c r="V87" i="13"/>
  <c r="U87" i="13"/>
  <c r="T87" i="13"/>
  <c r="M47" i="13"/>
  <c r="G47" i="13"/>
  <c r="M87" i="13"/>
  <c r="O47" i="13"/>
  <c r="V47" i="13"/>
  <c r="G87" i="13"/>
  <c r="F47" i="13"/>
  <c r="J47" i="13"/>
  <c r="W47" i="13"/>
  <c r="N47" i="13"/>
  <c r="O87" i="13"/>
  <c r="T47" i="13"/>
  <c r="I47" i="13"/>
  <c r="K87" i="13"/>
  <c r="I87" i="13"/>
  <c r="W87" i="13"/>
  <c r="N87" i="13"/>
  <c r="J87" i="13"/>
  <c r="K47" i="13"/>
  <c r="U47" i="13"/>
  <c r="D71" i="14"/>
  <c r="D58" i="14"/>
  <c r="C28" i="12" s="1"/>
  <c r="E87" i="13"/>
  <c r="D91" i="14"/>
  <c r="D38" i="14"/>
  <c r="D4" i="14"/>
  <c r="Q88" i="13"/>
  <c r="Q48" i="13"/>
  <c r="E3" i="14"/>
  <c r="W3" i="14"/>
  <c r="J3" i="14"/>
  <c r="O3" i="14"/>
  <c r="E47" i="13"/>
  <c r="T3" i="14"/>
  <c r="V3" i="14"/>
  <c r="G3" i="14"/>
  <c r="K3" i="14"/>
  <c r="U3" i="14"/>
  <c r="M3" i="14"/>
  <c r="N3" i="14"/>
  <c r="I3" i="14"/>
  <c r="F3" i="14"/>
  <c r="V9" i="13" l="1"/>
  <c r="I9" i="13"/>
  <c r="N9" i="13"/>
  <c r="T9" i="13"/>
  <c r="O9" i="13"/>
  <c r="M9" i="13"/>
  <c r="J9" i="13"/>
  <c r="W9" i="13"/>
  <c r="K9" i="13"/>
  <c r="U9" i="13"/>
  <c r="G9" i="13"/>
  <c r="E9" i="13"/>
  <c r="E10" i="13" s="1"/>
  <c r="D3" i="14"/>
  <c r="D87" i="13"/>
  <c r="Q10" i="13"/>
  <c r="D47" i="13"/>
  <c r="C19" i="12"/>
  <c r="C18" i="12"/>
  <c r="F9" i="13"/>
  <c r="D9" i="13" l="1"/>
  <c r="C17" i="12"/>
  <c r="I118" i="13" l="1"/>
  <c r="J118" i="13"/>
  <c r="N118" i="13"/>
  <c r="O118" i="13"/>
  <c r="V118" i="13"/>
  <c r="W118" i="13"/>
  <c r="U118" i="13"/>
  <c r="T118" i="13"/>
  <c r="M118" i="13"/>
  <c r="G118" i="13"/>
  <c r="F118" i="13"/>
  <c r="W78" i="13"/>
  <c r="V78" i="13"/>
  <c r="U78" i="13"/>
  <c r="T78" i="13"/>
  <c r="N78" i="13"/>
  <c r="M78" i="13"/>
  <c r="K78" i="13"/>
  <c r="I78" i="13"/>
  <c r="G78" i="13"/>
  <c r="D78" i="13" l="1"/>
  <c r="D118" i="13"/>
  <c r="E27" i="12" s="1"/>
  <c r="E29" i="12" s="1"/>
  <c r="D27" i="12" l="1"/>
  <c r="D29" i="12" s="1"/>
  <c r="F112" i="13"/>
  <c r="F72" i="13"/>
  <c r="F38" i="13"/>
  <c r="F33" i="13"/>
  <c r="W112" i="13"/>
  <c r="V112" i="13"/>
  <c r="U112" i="13"/>
  <c r="T112" i="13"/>
  <c r="O112" i="13"/>
  <c r="N112" i="13"/>
  <c r="M112" i="13"/>
  <c r="K112" i="13"/>
  <c r="J112" i="13"/>
  <c r="I112" i="13"/>
  <c r="G112" i="13"/>
  <c r="E112" i="13"/>
  <c r="E119" i="13" s="1"/>
  <c r="W72" i="13"/>
  <c r="V72" i="13"/>
  <c r="U72" i="13"/>
  <c r="T72" i="13"/>
  <c r="O72" i="13"/>
  <c r="N72" i="13"/>
  <c r="M72" i="13"/>
  <c r="K72" i="13"/>
  <c r="J72" i="13"/>
  <c r="I72" i="13"/>
  <c r="G72" i="13"/>
  <c r="W38" i="13"/>
  <c r="V38" i="13"/>
  <c r="U38" i="13"/>
  <c r="T38" i="13"/>
  <c r="O38" i="13"/>
  <c r="N38" i="13"/>
  <c r="M38" i="13"/>
  <c r="K38" i="13"/>
  <c r="I38" i="13"/>
  <c r="G38" i="13"/>
  <c r="W33" i="13"/>
  <c r="W6" i="13" s="1"/>
  <c r="W8" i="13" s="1"/>
  <c r="V33" i="13"/>
  <c r="U33" i="13"/>
  <c r="T33" i="13"/>
  <c r="O33" i="13"/>
  <c r="N33" i="13"/>
  <c r="M33" i="13"/>
  <c r="K33" i="13"/>
  <c r="J33" i="13"/>
  <c r="I33" i="13"/>
  <c r="I6" i="13" s="1"/>
  <c r="I8" i="13" s="1"/>
  <c r="I10" i="13" s="1"/>
  <c r="G33" i="13"/>
  <c r="E17" i="12"/>
  <c r="D17" i="12"/>
  <c r="D112" i="13" l="1"/>
  <c r="E16" i="12" s="1"/>
  <c r="D72" i="13"/>
  <c r="D16" i="12" s="1"/>
  <c r="D33" i="13"/>
  <c r="C16" i="12" s="1"/>
  <c r="D26" i="13"/>
  <c r="C15" i="12" s="1"/>
  <c r="D38" i="13"/>
  <c r="C27" i="12" s="1"/>
  <c r="C29" i="12" s="1"/>
  <c r="M39" i="13"/>
  <c r="M79" i="13"/>
  <c r="D105" i="13"/>
  <c r="E15" i="12" s="1"/>
  <c r="W39" i="13"/>
  <c r="D65" i="13"/>
  <c r="D15" i="12" s="1"/>
  <c r="I84" i="13"/>
  <c r="I86" i="13" s="1"/>
  <c r="I88" i="13" s="1"/>
  <c r="N84" i="13"/>
  <c r="N86" i="13" s="1"/>
  <c r="N88" i="13" s="1"/>
  <c r="G84" i="13"/>
  <c r="G86" i="13" s="1"/>
  <c r="G88" i="13" s="1"/>
  <c r="M84" i="13"/>
  <c r="M86" i="13" s="1"/>
  <c r="M88" i="13" s="1"/>
  <c r="U84" i="13"/>
  <c r="U86" i="13" s="1"/>
  <c r="U88" i="13" s="1"/>
  <c r="J84" i="13"/>
  <c r="J86" i="13" s="1"/>
  <c r="J88" i="13" s="1"/>
  <c r="W119" i="13"/>
  <c r="V84" i="13"/>
  <c r="V86" i="13" s="1"/>
  <c r="V88" i="13" s="1"/>
  <c r="V119" i="13"/>
  <c r="K6" i="13"/>
  <c r="K8" i="13" s="1"/>
  <c r="K10" i="13" s="1"/>
  <c r="N6" i="13"/>
  <c r="N8" i="13" s="1"/>
  <c r="N10" i="13" s="1"/>
  <c r="V6" i="13"/>
  <c r="V8" i="13" s="1"/>
  <c r="V10" i="13" s="1"/>
  <c r="G44" i="13"/>
  <c r="G46" i="13" s="1"/>
  <c r="G48" i="13" s="1"/>
  <c r="J44" i="13"/>
  <c r="J46" i="13" s="1"/>
  <c r="J48" i="13" s="1"/>
  <c r="M44" i="13"/>
  <c r="M46" i="13" s="1"/>
  <c r="M48" i="13" s="1"/>
  <c r="O44" i="13"/>
  <c r="O46" i="13" s="1"/>
  <c r="O48" i="13" s="1"/>
  <c r="U44" i="13"/>
  <c r="U46" i="13" s="1"/>
  <c r="U48" i="13" s="1"/>
  <c r="F44" i="13"/>
  <c r="F46" i="13" s="1"/>
  <c r="F48" i="13" s="1"/>
  <c r="J79" i="13"/>
  <c r="I44" i="13"/>
  <c r="I46" i="13" s="1"/>
  <c r="I48" i="13" s="1"/>
  <c r="N44" i="13"/>
  <c r="N46" i="13" s="1"/>
  <c r="N48" i="13" s="1"/>
  <c r="V44" i="13"/>
  <c r="V46" i="13" s="1"/>
  <c r="V48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79" i="13"/>
  <c r="W44" i="13"/>
  <c r="W46" i="13" s="1"/>
  <c r="W48" i="13" s="1"/>
  <c r="O84" i="13"/>
  <c r="O86" i="13" s="1"/>
  <c r="O88" i="13" s="1"/>
  <c r="W84" i="13"/>
  <c r="W86" i="13" s="1"/>
  <c r="W88" i="13" s="1"/>
  <c r="J6" i="13"/>
  <c r="J8" i="13" s="1"/>
  <c r="J10" i="13" s="1"/>
  <c r="O6" i="13"/>
  <c r="O8" i="13" s="1"/>
  <c r="O10" i="13" s="1"/>
  <c r="W10" i="13"/>
  <c r="E79" i="13"/>
  <c r="E44" i="13"/>
  <c r="K44" i="13"/>
  <c r="K46" i="13" s="1"/>
  <c r="K48" i="13" s="1"/>
  <c r="T44" i="13"/>
  <c r="T46" i="13" s="1"/>
  <c r="T48" i="13" s="1"/>
  <c r="E84" i="13"/>
  <c r="K84" i="13"/>
  <c r="K86" i="13" s="1"/>
  <c r="K88" i="13" s="1"/>
  <c r="T84" i="13"/>
  <c r="T86" i="13" s="1"/>
  <c r="T88" i="13" s="1"/>
  <c r="F84" i="13"/>
  <c r="F86" i="13" s="1"/>
  <c r="F88" i="13" s="1"/>
  <c r="F119" i="13"/>
  <c r="U79" i="13"/>
  <c r="O119" i="13"/>
  <c r="U119" i="13"/>
  <c r="M119" i="13"/>
  <c r="N39" i="13"/>
  <c r="N79" i="13"/>
  <c r="G119" i="13"/>
  <c r="J39" i="13"/>
  <c r="K119" i="13"/>
  <c r="T119" i="13"/>
  <c r="I119" i="13"/>
  <c r="J119" i="13"/>
  <c r="O39" i="13"/>
  <c r="T39" i="13"/>
  <c r="U39" i="13"/>
  <c r="K79" i="13"/>
  <c r="T79" i="13"/>
  <c r="K39" i="13"/>
  <c r="I39" i="13"/>
  <c r="V39" i="13"/>
  <c r="O79" i="13"/>
  <c r="G39" i="13"/>
  <c r="G79" i="13"/>
  <c r="I79" i="13"/>
  <c r="V79" i="13"/>
  <c r="N119" i="13"/>
  <c r="F39" i="13"/>
  <c r="F79" i="13"/>
  <c r="D119" i="13" l="1"/>
  <c r="D79" i="13"/>
  <c r="D39" i="13"/>
  <c r="D6" i="13"/>
  <c r="F8" i="13"/>
  <c r="D84" i="13"/>
  <c r="D44" i="13"/>
  <c r="D14" i="12"/>
  <c r="D20" i="12" s="1"/>
  <c r="D31" i="12" s="1"/>
  <c r="E14" i="12"/>
  <c r="E20" i="12" s="1"/>
  <c r="E31" i="12" s="1"/>
  <c r="C14" i="12"/>
  <c r="C20" i="12" s="1"/>
  <c r="C31" i="12" s="1"/>
  <c r="E46" i="13"/>
  <c r="E86" i="13"/>
  <c r="F10" i="13" l="1"/>
  <c r="D10" i="13" s="1"/>
  <c r="D8" i="13"/>
  <c r="E88" i="13"/>
  <c r="D88" i="13" s="1"/>
  <c r="D86" i="13"/>
  <c r="E48" i="13"/>
  <c r="D48" i="13" s="1"/>
  <c r="D46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mpogoreli21</author>
  </authors>
  <commentList>
    <comment ref="H4" authorId="0" shapeId="0" xr:uid="{7250BCDA-A1F2-4052-8522-3CAAAE470AE6}">
      <text>
        <r>
          <rPr>
            <b/>
            <sz val="9"/>
            <color indexed="81"/>
            <rFont val="Tahoma"/>
            <charset val="1"/>
          </rPr>
          <t>mpogoreli21:</t>
        </r>
        <r>
          <rPr>
            <sz val="9"/>
            <color indexed="81"/>
            <rFont val="Tahoma"/>
            <charset val="1"/>
          </rPr>
          <t xml:space="preserve">
povećanje za 1,5% na nivou financiranja svih sveučilišta (rebalans 8.11.)</t>
        </r>
      </text>
    </comment>
    <comment ref="H7" authorId="0" shapeId="0" xr:uid="{EF20EED7-0A00-4BDC-847D-430394E36E86}">
      <text>
        <r>
          <rPr>
            <b/>
            <sz val="9"/>
            <color indexed="81"/>
            <rFont val="Tahoma"/>
            <charset val="1"/>
          </rPr>
          <t>mpogoreli21:</t>
        </r>
        <r>
          <rPr>
            <sz val="9"/>
            <color indexed="81"/>
            <rFont val="Tahoma"/>
            <charset val="1"/>
          </rPr>
          <t xml:space="preserve">
48 mil. * 0,05% = 24.000 plus knjižene 83.000</t>
        </r>
      </text>
    </comment>
    <comment ref="H20" authorId="0" shapeId="0" xr:uid="{54CB9713-E09E-4E07-B6AD-F85AD9F08EF4}">
      <text>
        <r>
          <rPr>
            <b/>
            <sz val="9"/>
            <color indexed="81"/>
            <rFont val="Tahoma"/>
            <charset val="1"/>
          </rPr>
          <t>mpogoreli21:</t>
        </r>
        <r>
          <rPr>
            <sz val="9"/>
            <color indexed="81"/>
            <rFont val="Tahoma"/>
            <charset val="1"/>
          </rPr>
          <t xml:space="preserve">
Minus Menza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<sst xmlns="http://schemas.openxmlformats.org/spreadsheetml/2006/main" count="8305" uniqueCount="3544">
  <si>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</si>
  <si>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</si>
  <si>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</si>
  <si>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</si>
  <si>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</si>
  <si>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</si>
  <si>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</si>
  <si>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</si>
  <si>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</si>
  <si>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</si>
  <si>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</si>
  <si>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</si>
  <si>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</si>
  <si>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</si>
  <si>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</si>
  <si>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</si>
  <si>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</si>
  <si>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</si>
  <si>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</si>
  <si>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</si>
  <si>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</si>
  <si>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</si>
  <si>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</si>
  <si>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</si>
  <si>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</si>
  <si>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</si>
  <si>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</si>
  <si>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</si>
  <si>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</si>
  <si>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</si>
  <si>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</si>
  <si>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</si>
  <si>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</si>
  <si>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</si>
  <si>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</si>
  <si>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</si>
  <si>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</si>
  <si>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</si>
  <si>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</si>
  <si>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</si>
  <si>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</si>
  <si>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</si>
  <si>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</si>
  <si>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</si>
  <si>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</si>
  <si>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</si>
  <si>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</si>
  <si>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</si>
  <si>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</si>
  <si>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</si>
  <si>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</si>
  <si>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</si>
  <si>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</si>
  <si>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</si>
  <si>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</si>
  <si>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</si>
  <si>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</si>
  <si>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</si>
  <si>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</si>
  <si>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</si>
  <si>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</si>
  <si>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</si>
  <si>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</si>
  <si>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</si>
  <si>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</si>
  <si>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</si>
  <si>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</si>
  <si>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</si>
  <si>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</si>
  <si>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</si>
  <si>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</si>
  <si>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</si>
  <si>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</si>
  <si>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</si>
  <si>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</si>
  <si>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</si>
  <si>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</si>
  <si>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</si>
  <si>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</si>
  <si>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</si>
  <si>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</si>
  <si>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</si>
  <si>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</si>
  <si>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</si>
  <si>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</si>
  <si>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</si>
  <si>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</si>
  <si>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</si>
  <si>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</si>
  <si>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</si>
  <si>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</si>
  <si>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</si>
  <si>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</si>
  <si>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</si>
  <si>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</si>
  <si>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</si>
  <si>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</si>
  <si>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</si>
  <si>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</si>
  <si>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</si>
  <si>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</si>
  <si>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</si>
  <si>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</si>
  <si>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</si>
  <si>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</si>
  <si>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</si>
  <si>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</si>
  <si>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</si>
  <si>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</si>
  <si>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</si>
  <si>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</si>
  <si>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</si>
  <si>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</si>
  <si>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</si>
  <si>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</si>
  <si>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</si>
  <si>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</si>
  <si>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</si>
  <si>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</si>
  <si>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</si>
  <si>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</si>
  <si>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</si>
  <si>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</si>
  <si>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</si>
  <si>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</si>
  <si>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</si>
  <si>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</si>
  <si>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</si>
  <si>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</si>
  <si>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</si>
  <si>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</si>
  <si>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</si>
  <si>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</si>
  <si>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</si>
  <si>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</si>
  <si>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</si>
  <si>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</si>
  <si>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</si>
  <si>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</si>
  <si>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</si>
  <si>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</si>
  <si>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</si>
  <si>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</si>
  <si>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</si>
  <si>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</si>
  <si>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</si>
  <si>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</si>
  <si>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</si>
  <si>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</si>
  <si>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</si>
  <si>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</si>
  <si>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</si>
  <si>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</si>
  <si>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</si>
  <si>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</si>
  <si>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</si>
  <si>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</si>
  <si>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</si>
  <si>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</si>
  <si>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</si>
  <si>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</si>
  <si>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</si>
  <si>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</si>
  <si>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</si>
  <si>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</si>
  <si>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</si>
  <si>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</si>
  <si>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</si>
  <si>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</si>
  <si>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</si>
  <si>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</si>
  <si>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</si>
  <si>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</si>
  <si>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</si>
  <si>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</si>
  <si>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</si>
  <si>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</si>
  <si>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</si>
  <si>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</si>
  <si>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</si>
  <si>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</si>
  <si>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</si>
  <si>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</si>
  <si>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</si>
  <si>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</si>
  <si>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</si>
  <si>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</si>
  <si>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</si>
  <si>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</si>
  <si>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</si>
  <si>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</si>
  <si>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</si>
  <si>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</si>
  <si>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</si>
  <si>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</si>
  <si>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</si>
  <si>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</si>
  <si>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</si>
  <si>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</si>
  <si>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</si>
  <si>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</si>
  <si>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</si>
  <si>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</si>
  <si>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</si>
  <si>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</si>
  <si>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</si>
  <si>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</si>
  <si>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</si>
  <si>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</si>
  <si>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</si>
  <si>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</si>
  <si>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</si>
  <si>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</si>
  <si>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</si>
  <si>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</si>
  <si>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</si>
  <si>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</si>
  <si>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</si>
  <si>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</si>
  <si>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</si>
  <si>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</si>
  <si>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</si>
  <si>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</si>
  <si>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</si>
  <si>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</si>
  <si>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</si>
  <si>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</si>
  <si>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</si>
  <si>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</si>
  <si>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</si>
  <si>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</si>
  <si>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</si>
  <si>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</si>
  <si>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</si>
  <si>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</si>
  <si>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</si>
  <si>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</si>
  <si>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</si>
  <si>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</si>
  <si>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</si>
  <si>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</si>
  <si>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</si>
  <si>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</si>
  <si>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</si>
  <si>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</si>
  <si>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</si>
  <si>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</si>
  <si>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</si>
  <si>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</si>
  <si>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</si>
  <si>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</si>
  <si>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</si>
  <si>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</si>
  <si>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</si>
  <si>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</si>
  <si>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</si>
  <si>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</si>
  <si>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</si>
  <si>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</si>
  <si>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</si>
  <si>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</si>
  <si>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</si>
  <si>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</si>
  <si>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</si>
  <si>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</si>
  <si>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</si>
  <si>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</si>
  <si>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</si>
  <si>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</si>
  <si>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</si>
  <si>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</si>
  <si>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</si>
  <si>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</si>
  <si>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</si>
  <si>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</si>
  <si>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</si>
  <si>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</si>
  <si>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</si>
  <si>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</si>
  <si>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</si>
  <si>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</si>
  <si>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</si>
  <si>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</si>
  <si>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</si>
  <si>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</si>
  <si>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</si>
  <si>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</si>
  <si>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</si>
  <si>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</si>
  <si>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</si>
  <si>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</si>
  <si>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</si>
  <si>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</si>
  <si>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</si>
  <si>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</si>
  <si>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</si>
  <si>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</si>
  <si>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</si>
  <si>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</si>
  <si>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</si>
  <si>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</si>
  <si>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</si>
  <si>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</si>
  <si>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</si>
  <si>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</si>
  <si>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</si>
  <si>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</si>
  <si>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</si>
  <si>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</si>
  <si>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</si>
  <si>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</si>
  <si>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</si>
  <si>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</si>
  <si>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</si>
  <si>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</si>
  <si>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</si>
  <si>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</si>
  <si>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</si>
  <si>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</si>
  <si>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</si>
  <si>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</si>
  <si>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</si>
  <si>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</si>
  <si>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</si>
  <si>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</si>
  <si>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</si>
  <si>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</si>
  <si>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</si>
  <si>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</si>
  <si>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</si>
  <si>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</si>
  <si>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</si>
  <si>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</si>
  <si>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</si>
  <si>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</si>
  <si>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</si>
  <si>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</si>
  <si>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</si>
  <si>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</si>
  <si>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</si>
  <si>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</si>
  <si>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</si>
  <si>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</si>
  <si>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</si>
  <si>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</si>
  <si>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</si>
  <si>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</si>
  <si>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</si>
  <si>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</si>
  <si>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</si>
  <si>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</si>
  <si>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</si>
  <si>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</si>
  <si>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</si>
  <si>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</si>
  <si>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</si>
  <si>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</si>
  <si>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</si>
  <si>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</si>
  <si>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</si>
  <si>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</si>
  <si>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</si>
  <si>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</si>
  <si>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</si>
  <si>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</si>
  <si>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</si>
  <si>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</si>
  <si>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</si>
  <si>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</si>
  <si>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</si>
  <si>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</si>
  <si>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</si>
  <si>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</si>
  <si>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</si>
  <si>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</si>
  <si>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</si>
  <si>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</si>
  <si>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</si>
  <si>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</si>
  <si>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</si>
  <si>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</si>
  <si>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</si>
  <si>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</si>
  <si>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</si>
  <si>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</si>
  <si>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</si>
  <si>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</si>
  <si>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</si>
  <si>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</si>
  <si>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</si>
  <si>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</si>
  <si>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</si>
  <si>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</si>
  <si>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</si>
  <si>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</si>
  <si>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</si>
  <si>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</si>
  <si>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</si>
  <si>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</si>
  <si>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</si>
  <si>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</si>
  <si>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</si>
  <si>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</si>
  <si>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</si>
  <si>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</si>
  <si>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</si>
  <si>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</si>
  <si>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</si>
  <si>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</si>
  <si>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</si>
  <si>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</si>
  <si>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</si>
  <si>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</si>
  <si>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</si>
  <si>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</si>
  <si>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</si>
  <si>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</si>
  <si>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</si>
  <si>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</si>
  <si>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</si>
  <si>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</si>
  <si>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</si>
  <si>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</si>
  <si>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</si>
  <si>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</si>
  <si>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</si>
  <si>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</si>
  <si>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</si>
  <si>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</si>
  <si>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</si>
  <si>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</si>
  <si>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</si>
  <si>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</si>
  <si>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</si>
  <si>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</si>
  <si>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</si>
  <si>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</si>
  <si>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</si>
  <si>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</si>
  <si>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</si>
  <si>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</si>
  <si>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</si>
  <si>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</si>
  <si>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</si>
  <si>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</si>
  <si>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</si>
  <si>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</si>
  <si>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</si>
  <si>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</si>
  <si>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</si>
  <si>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</si>
  <si>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</si>
  <si>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</si>
  <si>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</si>
  <si>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</si>
  <si>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</si>
  <si>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</si>
  <si>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</si>
  <si>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</si>
  <si>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</si>
  <si>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</si>
  <si>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</si>
  <si>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</si>
  <si>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</si>
  <si>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</si>
  <si>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</si>
  <si>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</si>
  <si>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</si>
  <si>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</si>
  <si>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</si>
  <si>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</si>
  <si>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</si>
  <si>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</si>
  <si>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</si>
  <si>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</si>
  <si>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</si>
  <si>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</si>
  <si>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</si>
  <si>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</si>
  <si>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</si>
  <si>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</si>
  <si>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</si>
  <si>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</si>
  <si>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</si>
  <si>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</si>
  <si>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</si>
  <si>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</si>
  <si>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</si>
  <si>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</si>
  <si>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</si>
  <si>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</si>
  <si>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</si>
  <si>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</si>
  <si>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</si>
  <si>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</si>
  <si>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</si>
  <si>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</si>
  <si>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</si>
  <si>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</si>
  <si>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</si>
  <si>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</si>
  <si>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</si>
  <si>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</si>
  <si>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</si>
  <si>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</si>
  <si>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</si>
  <si>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</si>
  <si>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</si>
  <si>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</si>
  <si>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</si>
  <si>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</si>
  <si>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</si>
  <si>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</si>
  <si>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</si>
  <si>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</si>
  <si>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</si>
  <si>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</si>
  <si>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</si>
  <si>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</si>
  <si>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</si>
  <si>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</si>
  <si>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</si>
  <si>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</si>
  <si>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</si>
  <si>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</si>
  <si>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</si>
  <si>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</si>
  <si>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</si>
  <si>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</si>
  <si>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</si>
  <si>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</si>
  <si>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</si>
  <si>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</si>
  <si>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</si>
  <si>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</si>
  <si>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</si>
  <si>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</si>
  <si>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</si>
  <si>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</si>
  <si>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</si>
  <si>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</si>
  <si>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</si>
  <si>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</si>
  <si>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</si>
  <si>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</si>
  <si>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</si>
  <si>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</si>
  <si>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</si>
  <si>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</si>
  <si>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</si>
  <si>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</si>
  <si>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</si>
  <si>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</si>
  <si>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</si>
  <si>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</si>
  <si>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</si>
  <si>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</si>
  <si>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</si>
  <si>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</si>
  <si>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</si>
  <si>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</si>
  <si>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</si>
  <si>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</si>
  <si>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</si>
  <si>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</si>
  <si>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</si>
  <si>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</si>
  <si>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</si>
  <si>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</si>
  <si>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</si>
  <si>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</si>
  <si>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</si>
  <si>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</si>
  <si>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</si>
  <si>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</si>
  <si>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</si>
  <si>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</si>
  <si>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</si>
  <si>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</si>
  <si>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</si>
  <si>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</si>
  <si>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</si>
  <si>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</si>
  <si>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</si>
  <si>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</si>
  <si>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</si>
  <si>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</si>
  <si>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</si>
  <si>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</si>
  <si>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</si>
  <si>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</si>
  <si>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</si>
  <si>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</si>
  <si>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</si>
  <si>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</si>
  <si>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</si>
  <si>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</si>
  <si>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</si>
  <si>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</si>
  <si>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</si>
  <si>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</si>
  <si>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</si>
  <si>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</si>
  <si>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</si>
  <si>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</si>
  <si>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</si>
  <si>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</si>
  <si>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</si>
  <si>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</si>
  <si>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</si>
  <si>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</si>
  <si>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</si>
  <si>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</si>
  <si>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</si>
  <si>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</si>
  <si>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</si>
  <si>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</si>
  <si>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</si>
  <si>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</si>
  <si>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</si>
  <si>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</si>
  <si>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</si>
  <si>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</si>
  <si>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</si>
  <si>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</si>
  <si>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</si>
  <si>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</si>
  <si>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</si>
  <si>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</si>
  <si>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</si>
  <si>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</si>
  <si>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</si>
  <si>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</si>
  <si>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</si>
  <si>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</si>
  <si>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</si>
  <si>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</si>
  <si>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</si>
  <si>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</si>
  <si>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</si>
  <si>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</si>
  <si>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</si>
  <si>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</si>
  <si>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</si>
  <si>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</si>
  <si>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</si>
  <si>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</si>
  <si>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</si>
  <si>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</si>
  <si>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</si>
  <si>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</si>
  <si>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</si>
  <si>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</si>
  <si>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</si>
  <si>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</si>
  <si>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</si>
  <si>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</si>
  <si>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</si>
  <si>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</si>
  <si>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</si>
  <si>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</si>
  <si>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</si>
  <si>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</si>
  <si>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</si>
  <si>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</si>
  <si>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</si>
  <si>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</si>
  <si>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</si>
  <si>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</si>
  <si>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</si>
  <si>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</si>
  <si>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</si>
  <si>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</si>
  <si>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</si>
  <si>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</si>
  <si>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</si>
  <si>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</si>
  <si>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</si>
  <si>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</si>
  <si>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</si>
  <si>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</si>
  <si>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</si>
  <si>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</si>
  <si>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</si>
  <si>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</si>
  <si>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</si>
  <si>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</si>
  <si>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</si>
  <si>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</si>
  <si>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</si>
  <si>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</si>
  <si>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</si>
  <si>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</si>
  <si>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</si>
  <si>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</si>
  <si>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</si>
  <si>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</si>
  <si>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</si>
  <si>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</si>
  <si>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</si>
  <si>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</si>
  <si>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</si>
  <si>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</si>
  <si>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</si>
  <si>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</si>
  <si>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</si>
  <si>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</si>
  <si>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</si>
  <si>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</si>
  <si>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</si>
  <si>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</si>
  <si>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</si>
  <si>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</si>
  <si>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</si>
  <si>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</si>
  <si>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</si>
  <si>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</si>
  <si>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</si>
  <si>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</si>
  <si>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</si>
  <si>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</si>
  <si>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</si>
  <si>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</si>
  <si>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</si>
  <si>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</si>
  <si>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</si>
  <si>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</si>
  <si>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</si>
  <si>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</si>
  <si>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</si>
  <si>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</si>
  <si>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</si>
  <si>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</si>
  <si>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</si>
  <si>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</si>
  <si>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</si>
  <si>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</si>
  <si>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</si>
  <si>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</si>
  <si>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</si>
  <si>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</si>
  <si>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</si>
  <si>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</si>
  <si>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</si>
  <si>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</si>
  <si>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</si>
  <si>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</si>
  <si>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</si>
  <si>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</si>
  <si>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</si>
  <si>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</si>
  <si>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</si>
  <si>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</si>
  <si>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</si>
  <si>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</si>
  <si>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</si>
  <si>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</si>
  <si>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</si>
  <si>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</si>
  <si>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</si>
  <si>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</si>
  <si>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</si>
  <si>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</si>
  <si>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</si>
  <si>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</si>
  <si>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</si>
  <si>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</si>
  <si>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</si>
  <si>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</si>
  <si>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</si>
  <si>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</si>
  <si>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</si>
  <si>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</si>
  <si>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</si>
  <si>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</si>
  <si>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</si>
  <si>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</si>
  <si>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</si>
  <si>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</si>
  <si>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</si>
  <si>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</si>
  <si>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</si>
  <si>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</si>
  <si>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</si>
  <si>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</si>
  <si>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</si>
  <si>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</si>
  <si>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</si>
  <si>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</si>
  <si>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</si>
  <si>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</si>
  <si>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</si>
  <si>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</si>
  <si>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</si>
  <si>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</si>
  <si>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</si>
  <si>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</si>
  <si>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</si>
  <si>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</si>
  <si>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</si>
  <si>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</si>
  <si>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</si>
  <si>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</si>
  <si>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</si>
  <si>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</si>
  <si>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</si>
  <si>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</si>
  <si>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</si>
  <si>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</si>
  <si>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</si>
  <si>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</si>
  <si>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</si>
  <si>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</si>
  <si>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</si>
  <si>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</si>
  <si>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</si>
  <si>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</si>
  <si>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</si>
  <si>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</si>
  <si>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</si>
  <si>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</si>
  <si>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</si>
  <si>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</si>
  <si>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</si>
  <si>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</si>
  <si>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</si>
  <si>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</si>
  <si>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</si>
  <si>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</si>
  <si>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</si>
  <si>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</si>
  <si>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</si>
  <si>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</si>
  <si>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</si>
  <si>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</si>
  <si>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</si>
  <si>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</si>
  <si>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</si>
  <si>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</si>
  <si>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</si>
  <si>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</si>
  <si>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</si>
  <si>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</si>
  <si>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</si>
  <si>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</si>
  <si>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</si>
  <si>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</si>
  <si>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</si>
  <si>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</si>
  <si>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</si>
  <si>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</si>
  <si>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</si>
  <si>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</si>
  <si>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</si>
  <si>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</si>
  <si>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</si>
  <si>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</si>
  <si>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</si>
  <si>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</si>
  <si>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</si>
  <si>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</si>
  <si>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</si>
  <si>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</si>
  <si>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</si>
  <si>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</si>
  <si>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</si>
  <si>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</si>
  <si>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</si>
  <si>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</si>
  <si>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</si>
  <si>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</si>
  <si>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</si>
  <si>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</si>
  <si>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</si>
  <si>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</si>
  <si>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</si>
  <si>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</si>
  <si>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</si>
  <si>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</si>
  <si>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</si>
  <si>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</si>
  <si>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</si>
  <si>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</si>
  <si>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</si>
  <si>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</si>
  <si>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</si>
  <si>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</si>
  <si>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</si>
  <si>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</si>
  <si>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</si>
  <si>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</si>
  <si>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</si>
  <si>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</si>
  <si>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</si>
  <si>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</si>
  <si>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</si>
  <si>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</si>
  <si>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</si>
  <si>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</si>
  <si>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</si>
  <si>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</si>
  <si>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</si>
  <si>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</si>
  <si>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</si>
  <si>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</si>
  <si>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</si>
  <si>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</si>
  <si>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</si>
  <si>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</si>
  <si>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</si>
  <si>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</si>
  <si>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</si>
  <si>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</si>
  <si>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</si>
  <si>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</si>
  <si>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</si>
  <si>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</si>
  <si>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</si>
  <si>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</si>
  <si>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</si>
  <si>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</si>
  <si>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</si>
  <si>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</si>
  <si>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</si>
  <si>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</si>
  <si>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</si>
  <si>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</si>
  <si>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</si>
  <si>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</si>
  <si>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</si>
  <si>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</si>
  <si>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</si>
  <si>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</si>
  <si>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</si>
  <si>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</si>
  <si>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</si>
  <si>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</si>
  <si>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</si>
  <si>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</si>
  <si>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</si>
  <si>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</si>
  <si>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</si>
  <si>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</si>
  <si>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</si>
  <si>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</si>
  <si>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</si>
  <si>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</si>
  <si>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</si>
  <si>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</si>
  <si>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</si>
  <si>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</si>
  <si>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</si>
  <si>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</si>
  <si>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</si>
  <si>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</si>
  <si>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</si>
  <si>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</si>
  <si>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</si>
  <si>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</si>
  <si>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</si>
  <si>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</si>
  <si>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</si>
  <si>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</si>
  <si>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</si>
  <si>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</si>
  <si>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</si>
  <si>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</si>
  <si>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</si>
  <si>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</si>
  <si>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</si>
  <si>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</si>
  <si>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</si>
  <si>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</si>
  <si>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</si>
  <si>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</si>
  <si>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</si>
  <si>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</si>
  <si>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</si>
  <si>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</si>
  <si>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</si>
  <si>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</si>
  <si>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</si>
  <si>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</si>
  <si>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</si>
  <si>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</si>
  <si>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</si>
  <si>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</si>
  <si>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</si>
  <si>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</si>
  <si>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</si>
  <si>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</si>
  <si>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</si>
  <si>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</si>
  <si>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</si>
  <si>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</si>
  <si>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</si>
  <si>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</si>
  <si>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</si>
  <si>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</si>
  <si>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</si>
  <si>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</si>
  <si>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</si>
  <si>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</si>
  <si>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</si>
  <si>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</si>
  <si>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</si>
  <si>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</si>
  <si>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</si>
  <si>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</si>
  <si>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</si>
  <si>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</si>
  <si>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</si>
  <si>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</si>
  <si>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</si>
  <si>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</si>
  <si>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</si>
  <si>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</si>
  <si>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</si>
  <si>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</si>
  <si>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</si>
  <si>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</si>
  <si>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</si>
  <si>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</si>
  <si>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</si>
  <si>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</si>
  <si>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</si>
  <si>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</si>
  <si>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</si>
  <si>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</si>
  <si>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</si>
  <si>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</si>
  <si>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</si>
  <si>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</si>
  <si>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</si>
  <si>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</si>
  <si>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</si>
  <si>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</si>
  <si>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</si>
  <si>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</si>
  <si>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</si>
  <si>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</si>
  <si>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</si>
  <si>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</si>
  <si>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</si>
  <si>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</si>
  <si>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</si>
  <si>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</si>
  <si>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</si>
  <si>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</si>
  <si>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</si>
  <si>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</si>
  <si>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</si>
  <si>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</si>
  <si>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</si>
  <si>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</si>
  <si>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</si>
  <si>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</si>
  <si>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</si>
  <si>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</si>
  <si>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</si>
  <si>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</si>
  <si>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</si>
  <si>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</si>
  <si>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</si>
  <si>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</si>
  <si>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</si>
  <si>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</si>
  <si>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</si>
  <si>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</si>
  <si>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</si>
  <si>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</si>
  <si>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</si>
  <si>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</si>
  <si>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</si>
  <si>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</si>
  <si>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</si>
  <si>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</si>
  <si>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</si>
  <si>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</si>
  <si>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</si>
  <si>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</si>
  <si>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</si>
  <si>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</si>
  <si>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</si>
  <si>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</si>
  <si>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</si>
  <si>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</si>
  <si>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</si>
  <si>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</si>
  <si>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</si>
  <si>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</si>
  <si>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</si>
  <si>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</si>
  <si>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</si>
  <si>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</si>
  <si>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</si>
  <si>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</si>
  <si>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</si>
  <si>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</si>
  <si>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</si>
  <si>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</si>
  <si>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</si>
  <si>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</si>
  <si>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</si>
  <si>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</si>
  <si>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</si>
  <si>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</si>
  <si>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</si>
  <si>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</si>
  <si>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</si>
  <si>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</si>
  <si>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</si>
  <si>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</si>
  <si>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</si>
  <si>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</si>
  <si>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</si>
  <si>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</si>
  <si>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</si>
  <si>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</si>
  <si>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</si>
  <si>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</si>
  <si>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</si>
  <si>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</si>
  <si>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</si>
  <si>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</si>
  <si>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</si>
  <si>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</si>
  <si>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</si>
  <si>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</si>
  <si>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</si>
  <si>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</si>
  <si>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</si>
  <si>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</si>
  <si>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</si>
  <si>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</si>
  <si>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</si>
  <si>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</si>
  <si>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</si>
  <si>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</si>
  <si>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</si>
  <si>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</si>
  <si>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</si>
  <si>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</si>
  <si>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</si>
  <si>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</si>
  <si>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</si>
  <si>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</si>
  <si>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</si>
  <si>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</si>
  <si>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</si>
  <si>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</si>
  <si>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</si>
  <si>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</si>
  <si>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</si>
  <si>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</si>
  <si>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</si>
  <si>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</si>
  <si>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</si>
  <si>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</si>
  <si>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</si>
  <si>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</si>
  <si>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</si>
  <si>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</si>
  <si>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</si>
  <si>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</si>
  <si>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</si>
  <si>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</si>
  <si>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</si>
  <si>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</si>
  <si>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</si>
  <si>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</si>
  <si>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</si>
  <si>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</si>
  <si>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</si>
  <si>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</si>
  <si>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</si>
  <si>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</si>
  <si>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</si>
  <si>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</si>
  <si>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</si>
  <si>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</si>
  <si>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</si>
  <si>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</si>
  <si>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</si>
  <si>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</si>
  <si>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</si>
  <si>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</si>
  <si>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</si>
  <si>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</si>
  <si>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</si>
  <si>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</si>
  <si>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</si>
  <si>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</si>
  <si>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</si>
  <si>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</si>
  <si>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</si>
  <si>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</si>
  <si>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</si>
  <si>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</si>
  <si>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</si>
  <si>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</si>
  <si>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</si>
  <si>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</si>
  <si>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</si>
  <si>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</si>
  <si>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</si>
  <si>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</si>
  <si>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</si>
  <si>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</si>
  <si>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</si>
  <si>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</si>
  <si>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</si>
  <si>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</si>
  <si>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</si>
  <si>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</si>
  <si>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</si>
  <si>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</si>
  <si>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</si>
  <si>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</si>
  <si>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</si>
  <si>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</si>
  <si>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</si>
  <si>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</si>
  <si>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</si>
  <si>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</si>
  <si>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</si>
  <si>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</si>
  <si>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</si>
  <si>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</si>
  <si>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</si>
  <si>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</si>
  <si>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</si>
  <si>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</si>
  <si>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</si>
  <si>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</si>
  <si>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</si>
  <si>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</si>
  <si>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</si>
  <si>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</si>
  <si>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</si>
  <si>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</si>
  <si>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</si>
  <si>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</si>
  <si>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</si>
  <si>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</si>
  <si>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</si>
  <si>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</si>
  <si>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</si>
  <si>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</si>
  <si>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</si>
  <si>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</si>
  <si>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</si>
  <si>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</si>
  <si>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</si>
  <si>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</si>
  <si>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</si>
  <si>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</si>
  <si>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</si>
  <si>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</si>
  <si>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</si>
  <si>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</si>
  <si>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</si>
  <si>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</si>
  <si>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</si>
  <si>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</si>
  <si>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</si>
  <si>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</si>
  <si>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</si>
  <si>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</si>
  <si>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</si>
  <si>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</si>
  <si>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</si>
  <si>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</si>
  <si>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</si>
  <si>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</si>
  <si>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</si>
  <si>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</si>
  <si>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</si>
  <si>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</si>
  <si>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</si>
  <si>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</si>
  <si>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</si>
  <si>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</si>
  <si>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</si>
  <si>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</si>
  <si>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</si>
  <si>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</si>
  <si>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</si>
  <si>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</si>
  <si>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</si>
  <si>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</si>
  <si>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</si>
  <si>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</si>
  <si>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</si>
  <si>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</si>
  <si>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</si>
  <si>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</si>
  <si>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</si>
  <si>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</si>
  <si>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</si>
  <si>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</si>
  <si>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</si>
  <si>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</si>
  <si>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</si>
  <si>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</si>
  <si>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</si>
  <si>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</si>
  <si>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</si>
  <si>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</si>
  <si>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</si>
  <si>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</si>
  <si>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</si>
  <si>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</si>
  <si>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</si>
  <si>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</si>
  <si>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</si>
  <si>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</si>
  <si>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</si>
  <si>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</si>
  <si>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</si>
  <si>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</si>
  <si>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</si>
  <si>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</si>
  <si>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</si>
  <si>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</si>
  <si>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</si>
  <si>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</si>
  <si>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</si>
  <si>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</si>
  <si>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</si>
  <si>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</si>
  <si>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</si>
  <si>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</si>
  <si>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</si>
  <si>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</si>
  <si>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</si>
  <si>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</si>
  <si>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</si>
  <si>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</si>
  <si>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</si>
  <si>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</si>
  <si>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</si>
  <si>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</si>
  <si>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</si>
  <si>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</si>
  <si>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</si>
  <si>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</si>
  <si>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</si>
  <si>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</si>
  <si>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</si>
  <si>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</si>
  <si>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</si>
  <si>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</si>
  <si>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</si>
  <si>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</si>
  <si>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</si>
  <si>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</si>
  <si>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</si>
  <si>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</si>
  <si>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</si>
  <si>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</si>
  <si>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</si>
  <si>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</si>
  <si>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</si>
  <si>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</si>
  <si>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</si>
  <si>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</si>
  <si>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</si>
  <si>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</si>
  <si>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</si>
  <si>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</si>
  <si>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</si>
  <si>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</si>
  <si>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</si>
  <si>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</si>
  <si>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</si>
  <si>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</si>
  <si>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</si>
  <si>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</si>
  <si>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</si>
  <si>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</si>
  <si>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</si>
  <si>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</si>
  <si>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</si>
  <si>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</si>
  <si>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</si>
  <si>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</si>
  <si>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</si>
  <si>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</si>
  <si>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</si>
  <si>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</si>
  <si>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</si>
  <si>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</si>
  <si>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</si>
  <si>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</si>
  <si>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</si>
  <si>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</si>
  <si>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</si>
  <si>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</si>
  <si>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</si>
  <si>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</si>
  <si>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</si>
  <si>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</si>
  <si>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</si>
  <si>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</si>
  <si>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</si>
  <si>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</si>
  <si>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</si>
  <si>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</si>
  <si>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</si>
  <si>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</si>
  <si>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</si>
  <si>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</si>
  <si>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</si>
  <si>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</si>
  <si>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</si>
  <si>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</si>
  <si>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</si>
  <si>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</si>
  <si>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</si>
  <si>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</si>
  <si>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</si>
  <si>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</si>
  <si>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</si>
  <si>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</si>
  <si>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</si>
  <si>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</si>
  <si>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</si>
  <si>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</si>
  <si>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</si>
  <si>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</si>
  <si>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</si>
  <si>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</si>
  <si>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</si>
  <si>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</si>
  <si>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</si>
  <si>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</si>
  <si>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</si>
  <si>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</si>
  <si>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</si>
  <si>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</si>
  <si>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</si>
  <si>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</si>
  <si>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</si>
  <si>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</si>
  <si>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</si>
  <si>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</si>
  <si>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</si>
  <si>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</si>
  <si>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</si>
  <si>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</si>
  <si>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</si>
  <si>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</si>
  <si>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</si>
  <si>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</si>
  <si>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</si>
  <si>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</si>
  <si>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</si>
  <si>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</si>
  <si>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</si>
  <si>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</si>
  <si>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</si>
  <si>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</si>
  <si>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</si>
  <si>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</si>
  <si>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</si>
  <si>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</si>
  <si>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</si>
  <si>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</si>
  <si>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</si>
  <si>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</si>
  <si>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</si>
  <si>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</si>
  <si>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</si>
  <si>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</si>
  <si>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</si>
  <si>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</si>
  <si>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</si>
  <si>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</si>
  <si>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</si>
  <si>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</si>
  <si>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</si>
  <si>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</si>
  <si>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</si>
  <si>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</si>
  <si>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</si>
  <si>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</si>
  <si>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</si>
  <si>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</si>
  <si>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</si>
  <si>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</si>
  <si>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</si>
  <si>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</si>
  <si>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</si>
  <si>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</si>
  <si>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</si>
  <si>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</si>
  <si>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</si>
  <si>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</si>
  <si>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</si>
  <si>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</si>
  <si>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</si>
  <si>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</si>
  <si>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</si>
  <si>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</si>
  <si>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</si>
  <si>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</si>
  <si>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</si>
  <si>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</si>
  <si>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</si>
  <si>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</si>
  <si>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</si>
  <si>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</si>
  <si>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</si>
  <si>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</si>
  <si>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</si>
  <si>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</si>
  <si>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</si>
  <si>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</si>
  <si>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</si>
  <si>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</si>
  <si>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</si>
  <si>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</si>
  <si>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</si>
  <si>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</si>
  <si>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</si>
  <si>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</si>
  <si>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</si>
  <si>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</si>
  <si>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</si>
  <si>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</si>
  <si>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</si>
  <si>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</si>
  <si>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</si>
  <si>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</si>
  <si>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</si>
  <si>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</si>
  <si>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</si>
  <si>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</si>
  <si>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</si>
  <si>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</si>
  <si>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</si>
  <si>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</si>
  <si>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</si>
  <si>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</si>
  <si>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</si>
  <si>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</si>
  <si>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</si>
  <si>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</si>
  <si>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</si>
  <si>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</si>
  <si>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</si>
  <si>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</si>
  <si>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</si>
  <si>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</si>
  <si>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</si>
  <si>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</si>
  <si>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</si>
  <si>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</si>
  <si>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</si>
  <si>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</si>
  <si>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</si>
  <si>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</si>
  <si>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</si>
  <si>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</si>
  <si>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</si>
  <si>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</si>
  <si>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</si>
  <si>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</si>
  <si>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</si>
  <si>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</si>
  <si>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</si>
  <si>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</si>
  <si>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</si>
  <si>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</si>
  <si>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</si>
  <si>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</si>
  <si>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</si>
  <si>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</si>
  <si>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</si>
  <si>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</si>
  <si>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</si>
  <si>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</si>
  <si>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</si>
  <si>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</si>
  <si>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</si>
  <si>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</si>
  <si>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</si>
  <si>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</si>
  <si>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</si>
  <si>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</si>
  <si>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</si>
  <si>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</si>
  <si>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</si>
  <si>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</si>
  <si>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</si>
  <si>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</si>
  <si>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</si>
  <si>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</si>
  <si>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</si>
  <si>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</si>
  <si>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</si>
  <si>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</si>
  <si>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</si>
  <si>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</si>
  <si>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</si>
  <si>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</si>
  <si>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</si>
  <si>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</si>
  <si>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</si>
  <si>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</si>
  <si>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</si>
  <si>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</si>
  <si>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</si>
  <si>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</si>
  <si>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</si>
  <si>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</si>
  <si>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</si>
  <si>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</si>
  <si>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</si>
  <si>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</si>
  <si>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</si>
  <si>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</si>
  <si>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</si>
  <si>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</si>
  <si>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</si>
  <si>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</si>
  <si>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</si>
  <si>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</si>
  <si>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</si>
  <si>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</si>
  <si>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</si>
  <si>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</si>
  <si>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</si>
  <si>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</si>
  <si>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</si>
  <si>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</si>
  <si>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</si>
  <si>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</si>
  <si>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</si>
  <si>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</si>
  <si>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</si>
  <si>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</si>
  <si>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</si>
  <si>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</si>
  <si>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</si>
  <si>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</si>
  <si>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</si>
  <si>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</si>
  <si>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</si>
  <si>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</si>
  <si>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</si>
  <si>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</si>
  <si>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</si>
  <si>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</si>
  <si>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</si>
  <si>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</si>
  <si>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</si>
  <si>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</si>
  <si>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</si>
  <si>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</si>
  <si>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</si>
  <si>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</si>
  <si>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</si>
  <si>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</si>
  <si>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</si>
  <si>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</si>
  <si>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</si>
  <si>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</si>
  <si>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</si>
  <si>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</si>
  <si>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</si>
  <si>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</si>
  <si>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</si>
  <si>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</si>
  <si>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</si>
  <si>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</si>
  <si>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</si>
  <si>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</si>
  <si>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</si>
  <si>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</si>
  <si>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</si>
  <si>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</si>
  <si>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</si>
  <si>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</si>
  <si>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</si>
  <si>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</si>
  <si>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</si>
  <si>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</si>
  <si>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</si>
  <si>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</si>
  <si>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</si>
  <si>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</si>
  <si>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</si>
  <si>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</si>
  <si>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</si>
  <si>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</si>
  <si>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</si>
  <si>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</si>
  <si>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</si>
  <si>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</si>
  <si>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</si>
  <si>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</si>
  <si>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</si>
  <si>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</si>
  <si>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</si>
  <si>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</si>
  <si>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</si>
  <si>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</si>
  <si>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</si>
  <si>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</si>
  <si>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</si>
  <si>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</si>
  <si>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</si>
  <si>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</si>
  <si>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</si>
  <si>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</si>
  <si>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</si>
  <si>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</si>
  <si>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</si>
  <si>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</si>
  <si>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</si>
  <si>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</si>
  <si>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</si>
  <si>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</si>
  <si>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</si>
  <si>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</si>
  <si>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</si>
  <si>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</si>
  <si>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</si>
  <si>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</si>
  <si>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</si>
  <si>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</si>
  <si>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</si>
  <si>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</si>
  <si>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</si>
  <si>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</si>
  <si>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</si>
  <si>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</si>
  <si>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</si>
  <si>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</si>
  <si>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</si>
  <si>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</si>
  <si>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</si>
  <si>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</si>
  <si>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</si>
  <si>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</si>
  <si>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</si>
  <si>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</si>
  <si>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</si>
  <si>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</si>
  <si>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</si>
  <si>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</si>
  <si>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</si>
  <si>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</si>
  <si>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</si>
  <si>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</si>
  <si>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</si>
  <si>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</si>
  <si>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</si>
  <si>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</si>
  <si>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</si>
  <si>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</si>
  <si>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</si>
  <si>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</si>
  <si>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</si>
  <si>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</si>
  <si>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</si>
  <si>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</si>
  <si>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</si>
  <si>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</si>
  <si>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</si>
  <si>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</si>
  <si>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</si>
  <si>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</si>
  <si>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</si>
  <si>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</si>
  <si>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</si>
  <si>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</si>
  <si>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</si>
  <si>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</si>
  <si>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</si>
  <si>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</si>
  <si>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</si>
  <si>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</si>
  <si>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</si>
  <si>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</si>
  <si>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</si>
  <si>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</si>
  <si>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</si>
  <si>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</si>
  <si>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</si>
  <si>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</si>
  <si>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</si>
  <si>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</si>
  <si>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</si>
  <si>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</si>
  <si>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</si>
  <si>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</si>
  <si>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</si>
  <si>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</si>
  <si>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</si>
  <si>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</si>
  <si>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</si>
  <si>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</si>
  <si>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</si>
  <si>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</si>
  <si>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</si>
  <si>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</si>
  <si>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</si>
  <si>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</si>
  <si>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</si>
  <si>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</si>
  <si>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</si>
  <si>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</si>
  <si>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</si>
  <si>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</si>
  <si>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</si>
  <si>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</si>
  <si>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</si>
  <si>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</si>
  <si>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</si>
  <si>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</si>
  <si>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</si>
  <si>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</si>
  <si>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</si>
  <si>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</si>
  <si>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</si>
  <si>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</si>
  <si>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</si>
  <si>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</si>
  <si>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</si>
  <si>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</si>
  <si>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</si>
  <si>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</si>
  <si>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</si>
  <si>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</si>
  <si>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</si>
  <si>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</si>
  <si>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</si>
  <si>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</si>
  <si>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</si>
  <si>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</si>
  <si>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</si>
  <si>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</si>
  <si>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</si>
  <si>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</si>
  <si>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</si>
  <si>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</si>
  <si>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</si>
  <si>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</si>
  <si>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</si>
  <si>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</si>
  <si>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</si>
  <si>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</si>
  <si>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</si>
  <si>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</si>
  <si>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</si>
  <si>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</si>
  <si>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</si>
  <si>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</si>
  <si>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</si>
  <si>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</si>
  <si>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</si>
  <si>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</si>
  <si>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</si>
  <si>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</si>
  <si>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</si>
  <si>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</si>
  <si>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</si>
  <si>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</si>
  <si>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</si>
  <si>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</si>
  <si>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</si>
  <si>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</si>
  <si>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</si>
  <si>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</si>
  <si>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</si>
  <si>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</si>
  <si>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</si>
  <si>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</si>
  <si>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</si>
  <si>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</si>
  <si>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</si>
  <si>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</si>
  <si>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</si>
  <si>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</si>
  <si>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</si>
  <si>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</si>
  <si>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</si>
  <si>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</si>
  <si>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</si>
  <si>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</si>
  <si>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</si>
  <si>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</si>
  <si>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</si>
  <si>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</si>
  <si>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</si>
  <si>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</si>
  <si>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</si>
  <si>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</si>
  <si>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</si>
  <si>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</si>
  <si>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</si>
  <si>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</si>
  <si>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</si>
  <si>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</si>
  <si>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</si>
  <si>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</si>
  <si>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</si>
  <si>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</si>
  <si>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</si>
  <si>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</si>
  <si>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</si>
  <si>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</si>
  <si>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</si>
  <si>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</si>
  <si>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</si>
  <si>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</si>
  <si>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</si>
  <si>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</si>
  <si>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</si>
  <si>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</si>
  <si>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</si>
  <si>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</si>
  <si>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</si>
  <si>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</si>
  <si>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</si>
  <si>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</si>
  <si>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</si>
  <si>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</si>
  <si>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</si>
  <si>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</si>
  <si>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</si>
  <si>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</si>
  <si>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</si>
  <si>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</si>
  <si>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</si>
  <si>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</si>
  <si>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</si>
  <si>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</si>
  <si>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</si>
  <si>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</si>
  <si>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</si>
  <si>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</si>
  <si>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</si>
  <si>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</si>
  <si>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</si>
  <si>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</si>
  <si>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</si>
  <si>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</si>
  <si>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</si>
  <si>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</si>
  <si>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</si>
  <si>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</si>
  <si>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</si>
  <si>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</si>
  <si>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</si>
  <si>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</si>
  <si>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</si>
  <si>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</si>
  <si>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</si>
  <si>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</si>
  <si>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</si>
  <si>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</si>
  <si>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</si>
  <si>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</si>
  <si>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</si>
  <si>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</si>
  <si>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</si>
  <si>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</si>
  <si>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</si>
  <si>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</si>
  <si>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</si>
  <si>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plana 
za 2022.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</si>
  <si>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</si>
  <si>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</si>
  <si>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</si>
  <si>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</si>
  <si>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</si>
  <si>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</si>
  <si>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</si>
  <si>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</si>
  <si>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</si>
  <si>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</si>
  <si>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</si>
  <si>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</si>
  <si>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</si>
  <si>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</si>
  <si>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</si>
  <si>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</si>
  <si>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</si>
  <si>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</si>
  <si>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</si>
  <si>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</si>
  <si>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</si>
  <si>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</si>
  <si>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</si>
  <si>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</si>
  <si>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</si>
  <si>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</si>
  <si>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</si>
  <si>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</si>
  <si>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</si>
  <si>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</si>
  <si>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</si>
  <si>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</si>
  <si>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</si>
  <si>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</si>
  <si>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</si>
  <si>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</si>
  <si>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</si>
  <si>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</si>
  <si>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</si>
  <si>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</si>
  <si>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</si>
  <si>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</si>
  <si>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</si>
  <si>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</si>
  <si>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</si>
  <si>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</si>
  <si>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</si>
  <si>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</si>
  <si>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</si>
  <si>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</si>
  <si>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</si>
  <si>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</si>
  <si>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</si>
  <si>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</si>
  <si>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</si>
  <si>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</si>
  <si>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</si>
  <si>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</si>
  <si>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</si>
  <si>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</si>
  <si>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</si>
  <si>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</si>
  <si>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</si>
  <si>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</si>
  <si>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</si>
  <si>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</si>
  <si>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</si>
  <si>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</si>
  <si>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</si>
  <si>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</si>
  <si>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</si>
  <si>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</si>
  <si>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</si>
  <si>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</si>
  <si>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</si>
  <si>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</si>
  <si>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</si>
  <si>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</si>
  <si>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</si>
  <si>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</si>
  <si>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</si>
  <si>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</si>
  <si>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</si>
  <si>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</si>
  <si>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</si>
  <si>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</si>
  <si>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</si>
  <si>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</si>
  <si>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</si>
  <si>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</si>
  <si>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</si>
  <si>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</si>
  <si>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</si>
  <si>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</si>
  <si>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</si>
  <si>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</si>
  <si>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</si>
  <si>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</si>
  <si>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</si>
  <si>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</si>
  <si>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</si>
  <si>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</si>
  <si>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</si>
  <si>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</si>
  <si>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</si>
  <si>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</si>
  <si>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</si>
  <si>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</si>
  <si>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</si>
  <si>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</si>
  <si>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</si>
  <si>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</si>
  <si>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</si>
  <si>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</si>
  <si>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</si>
  <si>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</si>
  <si>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</si>
  <si>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</si>
  <si>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</si>
  <si>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</si>
  <si>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</si>
  <si>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</si>
  <si>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</si>
  <si>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</si>
  <si>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</si>
  <si>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</si>
  <si>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</si>
  <si>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</si>
  <si>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</si>
  <si>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</si>
  <si>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</si>
  <si>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</si>
  <si>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</si>
  <si>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</si>
  <si>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</si>
  <si>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</si>
  <si>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</si>
  <si>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</si>
  <si>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</si>
  <si>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</si>
  <si>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</si>
  <si>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</si>
  <si>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</si>
  <si>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</si>
  <si>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</si>
  <si>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</si>
  <si>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</si>
  <si>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</si>
  <si>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</si>
  <si>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</si>
  <si>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</si>
  <si>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</si>
  <si>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</si>
  <si>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</si>
  <si>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</si>
  <si>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</si>
  <si>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</si>
  <si>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</si>
  <si>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</si>
  <si>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</si>
  <si>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</si>
  <si>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</si>
  <si>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</si>
  <si>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</si>
  <si>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</si>
  <si>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</si>
  <si>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</si>
  <si>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</si>
  <si>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</si>
  <si>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</si>
  <si>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</si>
  <si>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</si>
  <si>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</si>
  <si>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</si>
  <si>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</si>
  <si>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</si>
  <si>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</si>
  <si>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</si>
  <si>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</si>
  <si>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</si>
  <si>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</si>
  <si>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</si>
  <si>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</si>
  <si>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</si>
  <si>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</si>
  <si>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</si>
  <si>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</si>
  <si>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</si>
  <si>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</si>
  <si>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</si>
  <si>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</si>
  <si>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</si>
  <si>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</si>
  <si>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</si>
  <si>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</si>
  <si>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</si>
  <si>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</si>
  <si>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</si>
  <si>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</si>
  <si>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</si>
  <si>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</si>
  <si>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</si>
  <si>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</si>
  <si>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</si>
  <si>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</si>
  <si>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</si>
  <si>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</si>
  <si>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</si>
  <si>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</si>
  <si>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</si>
  <si>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</si>
  <si>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</si>
  <si>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</si>
  <si>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</si>
  <si>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</si>
  <si>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</si>
  <si>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</si>
  <si>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</si>
  <si>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</si>
  <si>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</si>
  <si>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</si>
  <si>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</si>
  <si>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</si>
  <si>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</si>
  <si>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</si>
  <si>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</si>
  <si>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</si>
  <si>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</si>
  <si>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</si>
  <si>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</si>
  <si>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</si>
  <si>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</si>
  <si>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</si>
  <si>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</si>
  <si>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</si>
  <si>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</si>
  <si>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</si>
  <si>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</si>
  <si>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</si>
  <si>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</si>
  <si>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</si>
  <si>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</si>
  <si>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</si>
  <si>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</si>
  <si>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</si>
  <si>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</si>
  <si>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</si>
  <si>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</si>
  <si>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</si>
  <si>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</si>
  <si>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</si>
  <si>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</si>
  <si>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</si>
  <si>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</si>
  <si>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</si>
  <si>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</si>
  <si>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</si>
  <si>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</si>
  <si>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</si>
  <si>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</si>
  <si>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</si>
  <si>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</si>
  <si>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</si>
  <si>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</si>
  <si>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</si>
  <si>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</si>
  <si>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</si>
  <si>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</si>
  <si>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</si>
  <si>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</si>
  <si>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</si>
  <si>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</si>
  <si>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</si>
  <si>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</si>
  <si>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</si>
  <si>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</si>
  <si>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</si>
  <si>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</si>
  <si>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</si>
  <si>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</si>
  <si>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</si>
  <si>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</si>
  <si>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</si>
  <si>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</si>
  <si>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</si>
  <si>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</si>
  <si>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</si>
  <si>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</si>
  <si>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</si>
  <si>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</si>
  <si>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</si>
  <si>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</si>
  <si>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</si>
  <si>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</si>
  <si>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</si>
  <si>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</si>
  <si>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</si>
  <si>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</si>
  <si>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</si>
  <si>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</si>
  <si>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</si>
  <si>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</si>
  <si>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</si>
  <si>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</si>
  <si>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</si>
  <si>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</si>
  <si>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</si>
  <si>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</si>
  <si>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</si>
  <si>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</si>
  <si>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</si>
  <si>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</si>
  <si>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</si>
  <si>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</si>
  <si>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</si>
  <si>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</si>
  <si>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</si>
  <si>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</si>
  <si>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</si>
  <si>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</si>
  <si>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</si>
  <si>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</si>
  <si>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</si>
  <si>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</si>
  <si>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</si>
  <si>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</si>
  <si>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</si>
  <si>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</si>
  <si>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</si>
  <si>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</si>
  <si>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</si>
  <si>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</si>
  <si>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</si>
  <si>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</si>
  <si>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</si>
  <si>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</si>
  <si>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</si>
  <si>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</si>
  <si>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</si>
  <si>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</si>
  <si>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</si>
  <si>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</si>
  <si>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</si>
  <si>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</si>
  <si>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</si>
  <si>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</si>
  <si>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</si>
  <si>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</si>
  <si>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</si>
  <si>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</si>
  <si>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</si>
  <si>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</si>
  <si>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</si>
  <si>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</si>
  <si>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</si>
  <si>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</si>
  <si>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</si>
  <si>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</si>
  <si>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</si>
  <si>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</si>
  <si>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</si>
  <si>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</si>
  <si>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</si>
  <si>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</si>
  <si>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</si>
  <si>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</si>
  <si>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</si>
  <si>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</si>
  <si>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</si>
  <si>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</si>
  <si>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</si>
  <si>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</si>
  <si>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</si>
  <si>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</si>
  <si>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</si>
  <si>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</si>
  <si>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</si>
  <si>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</si>
  <si>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</si>
  <si>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</si>
  <si>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</si>
  <si>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</si>
  <si>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</si>
  <si>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</si>
  <si>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</si>
  <si>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</si>
  <si>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</si>
  <si>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</si>
  <si>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</si>
  <si>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</si>
  <si>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</si>
  <si>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</si>
  <si>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</si>
  <si>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</si>
  <si>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</si>
  <si>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</si>
  <si>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</si>
  <si>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</si>
  <si>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</si>
  <si>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</si>
  <si>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</si>
  <si>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</si>
  <si>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</si>
  <si>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</si>
  <si>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</si>
  <si>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</si>
  <si>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</si>
  <si>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</si>
  <si>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</si>
  <si>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</si>
  <si>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</si>
  <si>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</si>
  <si>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</si>
  <si>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</si>
  <si>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</si>
  <si>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</si>
  <si>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</si>
  <si>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</si>
  <si>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</si>
  <si>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</si>
  <si>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</si>
  <si>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</si>
  <si>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</si>
  <si>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</si>
  <si>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</si>
  <si>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</si>
  <si>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</si>
  <si>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</si>
  <si>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</si>
  <si>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</si>
  <si>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</si>
  <si>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</si>
  <si>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</si>
  <si>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</si>
  <si>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</si>
  <si>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</si>
  <si>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</si>
  <si>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</si>
  <si>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</si>
  <si>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</si>
  <si>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</si>
  <si>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</si>
  <si>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</si>
  <si>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</si>
  <si>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</si>
  <si>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</si>
  <si>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</si>
  <si>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</si>
  <si>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</si>
  <si>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</si>
  <si>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</si>
  <si>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</si>
  <si>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</si>
  <si>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</si>
  <si>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</si>
  <si>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</si>
  <si>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</si>
  <si>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</si>
  <si>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</si>
  <si>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</si>
  <si>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</si>
  <si>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</si>
  <si>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</si>
  <si>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</si>
  <si>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</si>
  <si>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</si>
  <si>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</si>
  <si>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</si>
  <si>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</si>
  <si>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</si>
  <si>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</si>
  <si>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</si>
  <si>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</si>
  <si>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</si>
  <si>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</si>
  <si>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</si>
  <si>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</si>
  <si>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</si>
  <si>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</si>
  <si>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</si>
  <si>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</si>
  <si>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</si>
  <si>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</si>
  <si>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</si>
  <si>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</si>
  <si>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</si>
  <si>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</si>
  <si>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</si>
  <si>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</si>
  <si>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</si>
  <si>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</si>
  <si>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</si>
  <si>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</si>
  <si>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</si>
  <si>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</si>
  <si>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</si>
  <si>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</si>
  <si>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</si>
  <si>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</si>
  <si>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</si>
  <si>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</si>
  <si>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</si>
  <si>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</si>
  <si>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</si>
  <si>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</si>
  <si>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</si>
  <si>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</si>
  <si>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</si>
  <si>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</si>
  <si>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</si>
  <si>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</si>
  <si>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</si>
  <si>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</si>
  <si>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</si>
  <si>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</si>
  <si>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</si>
  <si>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</si>
  <si>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</si>
  <si>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</si>
  <si>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</si>
  <si>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</si>
  <si>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</si>
  <si>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</si>
  <si>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</si>
  <si>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</si>
  <si>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</si>
  <si>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</si>
  <si>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</si>
  <si>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</si>
  <si>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</si>
  <si>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</si>
  <si>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</si>
  <si>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</si>
  <si>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</si>
  <si>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</si>
  <si>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</si>
  <si>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</si>
  <si>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</si>
  <si>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</si>
  <si>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</si>
  <si>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</si>
  <si>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</si>
  <si>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</si>
  <si>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</si>
  <si>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</si>
  <si>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</si>
  <si>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</si>
  <si>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</si>
  <si>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</si>
  <si>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</si>
  <si>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</si>
  <si>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</si>
  <si>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</si>
  <si>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</si>
  <si>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</si>
  <si>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</si>
  <si>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</si>
  <si>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</si>
  <si>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</si>
  <si>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</si>
  <si>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</si>
  <si>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</si>
  <si>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</si>
  <si>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</si>
  <si>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</si>
  <si>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</si>
  <si>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</si>
  <si>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</si>
  <si>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</si>
  <si>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</si>
  <si>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</si>
  <si>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</si>
  <si>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</si>
  <si>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</si>
  <si>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</si>
  <si>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</si>
  <si>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</si>
  <si>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</si>
  <si>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</si>
  <si>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</si>
  <si>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</si>
  <si>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</si>
  <si>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</si>
  <si>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</si>
  <si>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</si>
  <si>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</si>
  <si>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</si>
  <si>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</si>
  <si>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</si>
  <si>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</si>
  <si>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</si>
  <si>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</si>
  <si>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</si>
  <si>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</si>
  <si>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</si>
  <si>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</si>
  <si>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</si>
  <si>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</si>
  <si>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</si>
  <si>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</si>
  <si>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</si>
  <si>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</si>
  <si>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</si>
  <si>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</si>
  <si>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</si>
  <si>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</si>
  <si>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</si>
  <si>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</si>
  <si>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</si>
  <si>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</si>
  <si>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</si>
  <si>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</si>
  <si>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</si>
  <si>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</si>
  <si>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</si>
  <si>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</si>
  <si>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</si>
  <si>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</si>
  <si>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</si>
  <si>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</si>
  <si>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</si>
  <si>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</si>
  <si>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</si>
  <si>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</si>
  <si>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</si>
  <si>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</si>
  <si>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</si>
  <si>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</si>
  <si>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</si>
  <si>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</si>
  <si>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</si>
  <si>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</si>
  <si>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</si>
  <si>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</si>
  <si>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</si>
  <si>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</si>
  <si>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</si>
  <si>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</si>
  <si>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</si>
  <si>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</si>
  <si>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</si>
  <si>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</si>
  <si>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</si>
  <si>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</si>
  <si>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</si>
  <si>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</si>
  <si>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</si>
  <si>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</si>
  <si>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</si>
  <si>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</si>
  <si>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</si>
  <si>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</si>
  <si>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</si>
  <si>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</si>
  <si>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</si>
  <si>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</si>
  <si>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</si>
  <si>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</si>
  <si>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</si>
  <si>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</si>
  <si>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</si>
  <si>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</si>
  <si>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</si>
  <si>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</si>
  <si>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</si>
  <si>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</si>
  <si>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</si>
  <si>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</si>
  <si>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</si>
  <si>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</si>
  <si>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</si>
  <si>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</si>
  <si>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</si>
  <si>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</si>
  <si>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</si>
  <si>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</si>
  <si>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</si>
  <si>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</si>
  <si>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</si>
  <si>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</si>
  <si>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</si>
  <si>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</si>
  <si>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</si>
  <si>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</si>
  <si>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</si>
  <si>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</si>
  <si>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</si>
  <si>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</si>
  <si>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</si>
  <si>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</si>
  <si>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</si>
  <si>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</si>
  <si>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</si>
  <si>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</si>
  <si>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</si>
  <si>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</si>
  <si>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</si>
  <si>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</si>
  <si>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</si>
  <si>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</si>
  <si>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</si>
  <si>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</si>
  <si>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</si>
  <si>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</si>
  <si>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</si>
  <si>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</si>
  <si>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</si>
  <si>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</si>
  <si>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</si>
  <si>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</si>
  <si>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</si>
  <si>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</si>
  <si>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</si>
  <si>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</si>
  <si>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</si>
  <si>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</si>
  <si>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</si>
  <si>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</si>
  <si>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</si>
  <si>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</si>
  <si>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</si>
  <si>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</si>
  <si>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</si>
  <si>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</si>
  <si>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</si>
  <si>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</si>
  <si>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</si>
  <si>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</si>
  <si>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</si>
  <si>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</si>
  <si>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</si>
  <si>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</si>
  <si>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</si>
  <si>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</si>
  <si>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</si>
  <si>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</si>
  <si>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</si>
  <si>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</si>
  <si>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</si>
  <si>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</si>
  <si>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</si>
  <si>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</si>
  <si>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</si>
  <si>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</si>
  <si>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</si>
  <si>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</si>
  <si>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</si>
  <si>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</si>
  <si>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</si>
  <si>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</si>
  <si>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</si>
  <si>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</si>
  <si>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</si>
  <si>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</si>
  <si>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</si>
  <si>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</si>
  <si>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</si>
  <si>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</si>
  <si>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</si>
  <si>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</si>
  <si>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</si>
  <si>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</si>
  <si>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</si>
  <si>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</si>
  <si>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</si>
  <si>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</si>
  <si>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</si>
  <si>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</si>
  <si>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</si>
  <si>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</si>
  <si>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</si>
  <si>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</si>
  <si>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</si>
  <si>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</si>
  <si>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</si>
  <si>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</si>
  <si>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</si>
  <si>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</si>
  <si>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</si>
  <si>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</si>
  <si>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</si>
  <si>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</si>
  <si>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</si>
  <si>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</si>
  <si>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</si>
  <si>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</si>
  <si>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</si>
  <si>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</si>
  <si>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</si>
  <si>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</si>
  <si>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</si>
  <si>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</si>
  <si>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</si>
  <si>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</si>
  <si>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</si>
  <si>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</si>
  <si>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</si>
  <si>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</si>
  <si>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</si>
  <si>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</si>
  <si>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</si>
  <si>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</si>
  <si>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</si>
  <si>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</si>
  <si>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</si>
  <si>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</si>
  <si>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</si>
  <si>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</si>
  <si>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</si>
  <si>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</si>
  <si>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</si>
  <si>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</si>
  <si>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</si>
  <si>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</si>
  <si>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</si>
  <si>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</si>
  <si>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</si>
  <si>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</si>
  <si>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</si>
  <si>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</si>
  <si>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</si>
  <si>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</si>
  <si>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</si>
  <si>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</si>
  <si>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</si>
  <si>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</si>
  <si>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</si>
  <si>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</si>
  <si>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</si>
  <si>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</si>
  <si>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</si>
  <si>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</si>
  <si>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</si>
  <si>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</si>
  <si>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</si>
  <si>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</si>
  <si>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</si>
  <si>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</si>
  <si>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</si>
  <si>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</si>
  <si>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</si>
  <si>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</si>
  <si>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</si>
  <si>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</si>
  <si>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</si>
  <si>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</si>
  <si>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</si>
  <si>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</si>
  <si>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</si>
  <si>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</si>
  <si>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</si>
  <si>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</si>
  <si>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</si>
  <si>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</si>
  <si>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</si>
  <si>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</si>
  <si>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</si>
  <si>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</si>
  <si>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</si>
  <si>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</si>
  <si>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</si>
  <si>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</si>
  <si>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</si>
  <si>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</si>
  <si>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</si>
  <si>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</si>
  <si>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</si>
  <si>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</si>
  <si>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</si>
  <si>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</si>
  <si>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</si>
  <si>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</si>
  <si>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</si>
  <si>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</si>
  <si>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</si>
  <si>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</si>
  <si>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</si>
  <si>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</si>
  <si>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</si>
  <si>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</si>
  <si>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</si>
  <si>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</si>
  <si>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</si>
  <si>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</si>
  <si>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</si>
  <si>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</si>
  <si>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</si>
  <si>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</si>
  <si>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</si>
  <si>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</si>
  <si>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</si>
  <si>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</si>
  <si>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</si>
  <si>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</si>
  <si>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</si>
  <si>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</si>
  <si>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</si>
  <si>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</si>
  <si>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</si>
  <si>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</si>
  <si>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</si>
  <si>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</si>
  <si>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</si>
  <si>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</si>
  <si>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</si>
  <si>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</si>
  <si>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</si>
  <si>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</si>
  <si>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</si>
  <si>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</si>
  <si>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</si>
  <si>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</si>
  <si>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</si>
  <si>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</si>
  <si>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</si>
  <si>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</si>
  <si>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</si>
  <si>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</si>
  <si>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</si>
  <si>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</si>
  <si>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</si>
  <si>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</si>
  <si>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</si>
  <si>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</si>
  <si>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</si>
  <si>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</si>
  <si>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</si>
  <si>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</si>
  <si>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</si>
  <si>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</si>
  <si>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</si>
  <si>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</si>
  <si>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</si>
  <si>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</si>
  <si>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</si>
  <si>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</si>
  <si>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</si>
  <si>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</si>
  <si>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</si>
  <si>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</si>
  <si>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</si>
  <si>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</si>
  <si>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</si>
  <si>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</si>
  <si>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</si>
  <si>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</si>
  <si>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</si>
  <si>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</si>
  <si>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</si>
  <si>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</si>
  <si>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</si>
  <si>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</si>
  <si>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</si>
  <si>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</si>
  <si>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</si>
  <si>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</si>
  <si>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</si>
  <si>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</si>
  <si>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</si>
  <si>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</si>
  <si>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</si>
  <si>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</si>
  <si>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</si>
  <si>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</si>
  <si>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</si>
  <si>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</si>
  <si>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</si>
  <si>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</si>
  <si>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</si>
  <si>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</si>
  <si>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</si>
  <si>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</si>
  <si>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</si>
  <si>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</si>
  <si>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</si>
  <si>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</si>
  <si>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</si>
  <si>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</si>
  <si>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</si>
  <si>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</si>
  <si>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</si>
  <si>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</si>
  <si>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</si>
  <si>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</si>
  <si>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</si>
  <si>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</si>
  <si>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</si>
  <si>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</si>
  <si>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</si>
  <si>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</si>
  <si>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</si>
  <si>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</si>
  <si>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</si>
  <si>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</si>
  <si>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</si>
  <si>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</si>
  <si>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</si>
  <si>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</si>
  <si>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</si>
  <si>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</si>
  <si>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</si>
  <si>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</si>
  <si>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</si>
  <si>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</si>
  <si>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</si>
  <si>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</si>
  <si>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</si>
  <si>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</si>
  <si>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</si>
  <si>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</si>
  <si>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</si>
  <si>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</si>
  <si>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</si>
  <si>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</si>
  <si>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</si>
  <si>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</si>
  <si>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</si>
  <si>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</si>
  <si>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</si>
  <si>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</si>
  <si>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</si>
  <si>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</si>
  <si>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</si>
  <si>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</si>
  <si>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</si>
  <si>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</si>
  <si>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</si>
  <si>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</si>
  <si>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</si>
  <si>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</si>
  <si>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</si>
  <si>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</si>
  <si>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</si>
  <si>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</si>
  <si>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</si>
  <si>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</si>
  <si>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</si>
  <si>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</si>
  <si>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</si>
  <si>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</si>
  <si>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</si>
  <si>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</si>
  <si>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</si>
  <si>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</si>
  <si>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</si>
  <si>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</si>
  <si>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</si>
  <si>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</si>
  <si>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</si>
  <si>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</si>
  <si>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</si>
  <si>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</si>
  <si>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</si>
  <si>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</si>
  <si>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</si>
  <si>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</si>
  <si>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</si>
  <si>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</si>
  <si>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</si>
  <si>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</si>
  <si>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</si>
  <si>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</si>
  <si>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</si>
  <si>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</si>
  <si>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</si>
  <si>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</si>
  <si>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</si>
  <si>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</si>
  <si>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</si>
  <si>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</si>
  <si>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</si>
  <si>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</si>
  <si>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</si>
  <si>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</si>
  <si>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</si>
  <si>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</si>
  <si>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</si>
  <si>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</si>
  <si>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</si>
  <si>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</si>
  <si>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</si>
  <si>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</si>
  <si>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</si>
  <si>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</si>
  <si>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</si>
  <si>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</si>
  <si>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</si>
  <si>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</si>
  <si>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</si>
  <si>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</si>
  <si>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</si>
  <si>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</si>
  <si>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</si>
  <si>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</si>
  <si>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</si>
  <si>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</si>
  <si>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</si>
  <si>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</si>
  <si>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</si>
  <si>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</si>
  <si>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</si>
  <si>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</si>
  <si>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</si>
  <si>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</si>
  <si>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</si>
  <si>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</si>
  <si>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</si>
  <si>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</si>
  <si>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</si>
  <si>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</si>
  <si>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</si>
  <si>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</si>
  <si>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</si>
  <si>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</si>
  <si>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</si>
  <si>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</si>
  <si>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</si>
  <si>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</si>
  <si>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</si>
  <si>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</si>
  <si>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</si>
  <si>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</si>
  <si>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</si>
  <si>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</si>
  <si>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</si>
  <si>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</si>
  <si>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</si>
  <si>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</si>
  <si>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</si>
  <si>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</si>
  <si>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</si>
  <si>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</si>
  <si>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</si>
  <si>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</si>
  <si>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</si>
  <si>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</si>
  <si>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</si>
  <si>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</si>
  <si>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</si>
  <si>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</si>
  <si>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</si>
  <si>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</si>
  <si>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</si>
  <si>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</si>
  <si>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</si>
  <si>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</si>
  <si>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</si>
  <si>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</si>
  <si>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</si>
  <si>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</si>
  <si>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</si>
  <si>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</si>
  <si>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</si>
  <si>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</si>
  <si>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</si>
  <si>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</si>
  <si>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</si>
  <si>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</si>
  <si>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</si>
  <si>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</si>
  <si>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</si>
  <si>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</si>
  <si>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</si>
  <si>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</si>
  <si>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</si>
  <si>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</si>
  <si>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</si>
  <si>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</si>
  <si>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</si>
  <si>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</si>
  <si>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</si>
  <si>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</si>
  <si>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</si>
  <si>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</si>
  <si>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</si>
  <si>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</si>
  <si>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</si>
  <si>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</si>
  <si>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</si>
  <si>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</si>
  <si>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</si>
  <si>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</si>
  <si>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</si>
  <si>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</si>
  <si>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</si>
  <si>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</si>
  <si>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</si>
  <si>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</si>
  <si>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</si>
  <si>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</si>
  <si>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</si>
  <si>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</si>
  <si>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</si>
  <si>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</si>
  <si>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</si>
  <si>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</si>
  <si>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</si>
  <si>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</si>
  <si>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</si>
  <si>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</si>
  <si>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</si>
  <si>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</si>
  <si>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</si>
  <si>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</si>
  <si>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</si>
  <si>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</si>
  <si>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</si>
  <si>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</si>
  <si>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</si>
  <si>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</si>
  <si>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</si>
  <si>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</si>
  <si>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</si>
  <si>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</si>
  <si>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</si>
  <si>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</si>
  <si>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</si>
  <si>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</si>
  <si>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</si>
  <si>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</si>
  <si>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</si>
  <si>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</si>
  <si>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</si>
  <si>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</si>
  <si>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</si>
  <si>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</si>
  <si>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</si>
  <si>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</si>
  <si>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</si>
  <si>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</si>
  <si>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</si>
  <si>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</si>
  <si>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</si>
  <si>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</si>
  <si>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</si>
  <si>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</si>
  <si>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</si>
  <si>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</si>
  <si>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</si>
  <si>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</si>
  <si>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</si>
  <si>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</si>
  <si>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</si>
  <si>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</si>
  <si>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</si>
  <si>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</si>
  <si>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</si>
  <si>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</si>
  <si>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</si>
  <si>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</si>
  <si>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</si>
  <si>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</si>
  <si>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</si>
  <si>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</si>
  <si>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</si>
  <si>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</si>
  <si>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</si>
  <si>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</si>
  <si>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</si>
  <si>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</si>
  <si>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</si>
  <si>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</si>
  <si>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</si>
  <si>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</si>
  <si>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</si>
  <si>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</si>
  <si>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</si>
  <si>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</si>
  <si>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</si>
  <si>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</si>
  <si>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</si>
  <si>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</si>
  <si>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</si>
  <si>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</si>
  <si>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</si>
  <si>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</si>
  <si>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</si>
  <si>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</si>
  <si>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</si>
  <si>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</si>
  <si>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</si>
  <si>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</si>
  <si>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</si>
  <si>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</si>
  <si>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</si>
  <si>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</si>
  <si>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</si>
  <si>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</si>
  <si>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</si>
  <si>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</si>
  <si>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</si>
  <si>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</si>
  <si>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</si>
  <si>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</si>
  <si>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</si>
  <si>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</si>
  <si>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</si>
  <si>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</si>
  <si>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</si>
  <si>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</si>
  <si>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</si>
  <si>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</si>
  <si>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</si>
  <si>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</si>
  <si>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</si>
  <si>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</si>
  <si>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</si>
  <si>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</si>
  <si>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</si>
  <si>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</si>
  <si>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</si>
  <si>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</si>
  <si>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</si>
  <si>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</si>
  <si>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</si>
  <si>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</si>
  <si>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</si>
  <si>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</si>
  <si>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</si>
  <si>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</si>
  <si>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</si>
  <si>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</si>
  <si>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</si>
  <si>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</si>
  <si>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</si>
  <si>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</si>
  <si>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</si>
  <si>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</si>
  <si>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</si>
  <si>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</si>
  <si>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</si>
  <si>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</si>
  <si>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</si>
  <si>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</si>
  <si>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</si>
  <si>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</si>
  <si>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</si>
  <si>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</si>
  <si>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</si>
  <si>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</si>
  <si>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</si>
  <si>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</si>
  <si>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</si>
  <si>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</si>
  <si>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</si>
  <si>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</si>
  <si>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</si>
  <si>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</si>
  <si>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</si>
  <si>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</si>
  <si>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</si>
  <si>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</si>
  <si>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</si>
  <si>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</si>
  <si>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</si>
  <si>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</si>
  <si>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</si>
  <si>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</si>
  <si>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</si>
  <si>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</si>
  <si>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</si>
  <si>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</si>
  <si>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</si>
  <si>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</si>
  <si>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</si>
  <si>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</si>
  <si>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</si>
  <si>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</si>
  <si>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</si>
  <si>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</si>
  <si>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</si>
  <si>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</si>
  <si>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</si>
  <si>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</si>
  <si>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</si>
  <si>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</si>
  <si>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</si>
  <si>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</si>
  <si>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</si>
  <si>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</si>
  <si>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</si>
  <si>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</si>
  <si>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</si>
  <si>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</si>
  <si>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</si>
  <si>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</si>
  <si>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</si>
  <si>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</si>
  <si>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</si>
  <si>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</si>
  <si>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</si>
  <si>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</si>
  <si>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</si>
  <si>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</si>
  <si>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</si>
  <si>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</si>
  <si>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</si>
  <si>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</si>
  <si>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</si>
  <si>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</si>
  <si>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</si>
  <si>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</si>
  <si>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</si>
  <si>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</si>
  <si>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</si>
  <si>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</si>
  <si>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</si>
  <si>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</si>
  <si>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</si>
  <si>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</si>
  <si>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</si>
  <si>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</si>
  <si>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</si>
  <si>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</si>
  <si>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</si>
  <si>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</si>
  <si>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</si>
  <si>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</si>
  <si>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</si>
  <si>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</si>
  <si>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</si>
  <si>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</si>
  <si>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</si>
  <si>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</si>
  <si>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</si>
  <si>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</si>
  <si>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</si>
  <si>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</si>
  <si>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</si>
  <si>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</si>
  <si>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</si>
  <si>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</si>
  <si>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</si>
  <si>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</si>
  <si>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</si>
  <si>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</si>
  <si>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</si>
  <si>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</si>
  <si>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</si>
  <si>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</si>
  <si>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</si>
  <si>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</si>
  <si>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</si>
  <si>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</si>
  <si>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</si>
  <si>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</si>
  <si>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</si>
  <si>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</si>
  <si>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</si>
  <si>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</si>
  <si>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</si>
  <si>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</si>
  <si>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</si>
  <si>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</si>
  <si>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</si>
  <si>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</si>
  <si>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</si>
  <si>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</si>
  <si>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</si>
  <si>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</si>
  <si>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</si>
  <si>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</si>
  <si>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</si>
  <si>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</si>
  <si>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</si>
  <si>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</si>
  <si>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</si>
  <si>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</si>
  <si>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</si>
  <si>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</si>
  <si>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</si>
  <si>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</si>
  <si>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</si>
  <si>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</si>
  <si>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</si>
  <si>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</si>
  <si>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</si>
  <si>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</si>
  <si>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</si>
  <si>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</si>
  <si>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</si>
  <si>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</si>
  <si>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</si>
  <si>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</si>
  <si>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</si>
  <si>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</si>
  <si>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</si>
  <si>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</si>
  <si>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</si>
  <si>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</si>
  <si>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</si>
  <si>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</si>
  <si>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</si>
  <si>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</si>
  <si>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</si>
  <si>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</si>
  <si>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</si>
  <si>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</si>
  <si>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</si>
  <si>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</si>
  <si>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</si>
  <si>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</si>
  <si>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</si>
  <si>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</si>
  <si>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IZVOR 581                Mehanizam za oporavak i otpornost</t>
  </si>
  <si>
    <t>unos P4</t>
  </si>
  <si>
    <t>23815SVEUČILIŠTE U ZADRU</t>
  </si>
  <si>
    <t>Maja Pogorelić Bajlo</t>
  </si>
  <si>
    <t>023/200-617</t>
  </si>
  <si>
    <t>mpogoreli21@unizd.hr</t>
  </si>
  <si>
    <t>Razlika</t>
  </si>
  <si>
    <t>REBALANS 2022.</t>
  </si>
  <si>
    <t>RAZLIKE</t>
  </si>
  <si>
    <t>IZMJENE I DOPUNE (REBALANS) FP 2022.</t>
  </si>
  <si>
    <t>FP 2022.</t>
  </si>
  <si>
    <t>IZMJENE I DOPUNE (REBALANS) FINANCIJSKOG PLANA ZA 2022. GODINU</t>
  </si>
  <si>
    <t>FP za 2022.</t>
  </si>
  <si>
    <t>Rebalans FP 2022.</t>
  </si>
  <si>
    <t xml:space="preserve">IZMJENE I DOPUNE (REBALANS) PLANA RASHODA I IZDATAKA ZA 2022. GODINU </t>
  </si>
  <si>
    <t>REBALANS za 2022.</t>
  </si>
  <si>
    <t>3293</t>
  </si>
  <si>
    <t>3294</t>
  </si>
  <si>
    <t>3431</t>
  </si>
  <si>
    <t>3721</t>
  </si>
  <si>
    <t>4123</t>
  </si>
  <si>
    <t>4221</t>
  </si>
  <si>
    <t>4241</t>
  </si>
  <si>
    <t>4262</t>
  </si>
  <si>
    <t>3211</t>
  </si>
  <si>
    <t>3213</t>
  </si>
  <si>
    <t>3214</t>
  </si>
  <si>
    <t>3237</t>
  </si>
  <si>
    <t>3239</t>
  </si>
  <si>
    <t>3241</t>
  </si>
  <si>
    <t>3299</t>
  </si>
  <si>
    <t>3292</t>
  </si>
  <si>
    <t>4227</t>
  </si>
  <si>
    <t>3238</t>
  </si>
  <si>
    <t>3221</t>
  </si>
  <si>
    <t>3225</t>
  </si>
  <si>
    <t>3231</t>
  </si>
  <si>
    <t>3212</t>
  </si>
  <si>
    <t>3233</t>
  </si>
  <si>
    <t>3111</t>
  </si>
  <si>
    <t>3121</t>
  </si>
  <si>
    <t>3132</t>
  </si>
  <si>
    <t>3223</t>
  </si>
  <si>
    <t>3235</t>
  </si>
  <si>
    <t>4225</t>
  </si>
  <si>
    <t>PROPELERI (6 ) - K.K.01.2.1.02.0275 Pobolj. učink. brodske populzije optimizacijom propelera</t>
  </si>
  <si>
    <t>TEMATSKE MREŽE PROSTOR I PROMJENE  (B.A.B.E. )</t>
  </si>
  <si>
    <t>3531</t>
  </si>
  <si>
    <t>Partnerstvo  između znanstvenika i ribara MJERA 1.3 / 52 ) B. M.</t>
  </si>
  <si>
    <t>Partnerstvo  između znanstvenika i ribara MJERA 1.3 (52 ) A.Š.</t>
  </si>
  <si>
    <t>STUDENTS CIVIC ENG. EU PROJECT-UNIVERSITY OF LA ROCHELLE</t>
  </si>
  <si>
    <t>3113</t>
  </si>
  <si>
    <t>HKO - EKONOMSKI FAKULTET SPLIT</t>
  </si>
  <si>
    <t>4222</t>
  </si>
  <si>
    <t>HKO - FILOZOFSKI FAKULTET ZAGREB</t>
  </si>
  <si>
    <t>PRIMA SafeAgroBee</t>
  </si>
  <si>
    <t>TEAPOT</t>
  </si>
  <si>
    <t>3224</t>
  </si>
  <si>
    <t>BLUE-CONNECT</t>
  </si>
  <si>
    <t>SHIE</t>
  </si>
  <si>
    <t>I - MORE mjera II.1 Inovacije za razvoj održive marikulture</t>
  </si>
  <si>
    <t>IFE21-ENV-IT-LIFE MICROFIGHTER</t>
  </si>
  <si>
    <t>OPERAS-PLUS</t>
  </si>
  <si>
    <t>Zadar, 20.12.2022.</t>
  </si>
  <si>
    <t>Rekonstrukcija zgrade u Ul. Šime Vitasovića 1 u Zadru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</si>
</sst>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4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8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9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3" fontId="13" fillId="0" borderId="1" xfId="18" applyNumberFormat="1">
      <alignment horizontal="right" vertical="center"/>
    </xf>
    <xf numFmtId="0" fontId="24" fillId="0" borderId="1" xfId="19" quotePrefix="1" applyNumberFormat="1" applyFont="1" applyFill="1" applyProtection="1">
      <alignment horizontal="left" vertical="center" indent="1" justifyLastLine="1"/>
    </xf>
    <xf numFmtId="3" fontId="83" fillId="0" borderId="1" xfId="18" applyNumberFormat="1" applyFont="1" applyFill="1" applyProtection="1">
      <alignment horizontal="right" vertical="center"/>
      <protection locked="0"/>
    </xf>
    <xf numFmtId="3" fontId="11" fillId="0" borderId="0" xfId="2" applyNumberFormat="1" applyFont="1" applyFill="1" applyAlignment="1" applyProtection="1">
      <alignment vertical="center"/>
    </xf>
    <xf numFmtId="3" fontId="11" fillId="0" borderId="0" xfId="2" applyNumberFormat="1" applyFont="1" applyAlignment="1" applyProtection="1">
      <alignment vertical="center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80</xdr:row>
      <xdr:rowOff>19050</xdr:rowOff>
    </xdr:from>
    <xdr:to>
      <xdr:col>2</xdr:col>
      <xdr:colOff>0</xdr:colOff>
      <xdr:row>82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80</xdr:row>
      <xdr:rowOff>19050</xdr:rowOff>
    </xdr:from>
    <xdr:to>
      <xdr:col>1</xdr:col>
      <xdr:colOff>1085850</xdr:colOff>
      <xdr:row>82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80</xdr:row>
      <xdr:rowOff>19050</xdr:rowOff>
    </xdr:from>
    <xdr:to>
      <xdr:col>2</xdr:col>
      <xdr:colOff>0</xdr:colOff>
      <xdr:row>82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80</xdr:row>
      <xdr:rowOff>19050</xdr:rowOff>
    </xdr:from>
    <xdr:to>
      <xdr:col>1</xdr:col>
      <xdr:colOff>1085850</xdr:colOff>
      <xdr:row>82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80</xdr:row>
      <xdr:rowOff>19050</xdr:rowOff>
    </xdr:from>
    <xdr:to>
      <xdr:col>2</xdr:col>
      <xdr:colOff>0</xdr:colOff>
      <xdr:row>82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80</xdr:row>
      <xdr:rowOff>19050</xdr:rowOff>
    </xdr:from>
    <xdr:to>
      <xdr:col>1</xdr:col>
      <xdr:colOff>1085850</xdr:colOff>
      <xdr:row>82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80</xdr:row>
      <xdr:rowOff>19050</xdr:rowOff>
    </xdr:from>
    <xdr:to>
      <xdr:col>2</xdr:col>
      <xdr:colOff>0</xdr:colOff>
      <xdr:row>82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80</xdr:row>
      <xdr:rowOff>19050</xdr:rowOff>
    </xdr:from>
    <xdr:to>
      <xdr:col>1</xdr:col>
      <xdr:colOff>1085850</xdr:colOff>
      <xdr:row>82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40</xdr:row>
      <xdr:rowOff>19050</xdr:rowOff>
    </xdr:from>
    <xdr:to>
      <xdr:col>1</xdr:col>
      <xdr:colOff>1085850</xdr:colOff>
      <xdr:row>42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80</xdr:row>
      <xdr:rowOff>19050</xdr:rowOff>
    </xdr:from>
    <xdr:to>
      <xdr:col>2</xdr:col>
      <xdr:colOff>0</xdr:colOff>
      <xdr:row>82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80</xdr:row>
      <xdr:rowOff>19050</xdr:rowOff>
    </xdr:from>
    <xdr:to>
      <xdr:col>1</xdr:col>
      <xdr:colOff>1085850</xdr:colOff>
      <xdr:row>82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80</xdr:row>
      <xdr:rowOff>19050</xdr:rowOff>
    </xdr:from>
    <xdr:to>
      <xdr:col>2</xdr:col>
      <xdr:colOff>0</xdr:colOff>
      <xdr:row>82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80</xdr:row>
      <xdr:rowOff>19050</xdr:rowOff>
    </xdr:from>
    <xdr:to>
      <xdr:col>1</xdr:col>
      <xdr:colOff>1085850</xdr:colOff>
      <xdr:row>82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80</xdr:row>
      <xdr:rowOff>19050</xdr:rowOff>
    </xdr:from>
    <xdr:to>
      <xdr:col>2</xdr:col>
      <xdr:colOff>0</xdr:colOff>
      <xdr:row>82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80</xdr:row>
      <xdr:rowOff>19050</xdr:rowOff>
    </xdr:from>
    <xdr:to>
      <xdr:col>1</xdr:col>
      <xdr:colOff>1085850</xdr:colOff>
      <xdr:row>82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80</xdr:row>
      <xdr:rowOff>19050</xdr:rowOff>
    </xdr:from>
    <xdr:to>
      <xdr:col>2</xdr:col>
      <xdr:colOff>0</xdr:colOff>
      <xdr:row>82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80</xdr:row>
      <xdr:rowOff>19050</xdr:rowOff>
    </xdr:from>
    <xdr:to>
      <xdr:col>1</xdr:col>
      <xdr:colOff>1085850</xdr:colOff>
      <xdr:row>82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80</xdr:row>
      <xdr:rowOff>19050</xdr:rowOff>
    </xdr:from>
    <xdr:to>
      <xdr:col>1</xdr:col>
      <xdr:colOff>1085850</xdr:colOff>
      <xdr:row>82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80</xdr:row>
      <xdr:rowOff>19050</xdr:rowOff>
    </xdr:from>
    <xdr:to>
      <xdr:col>2</xdr:col>
      <xdr:colOff>0</xdr:colOff>
      <xdr:row>82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80</xdr:row>
      <xdr:rowOff>19050</xdr:rowOff>
    </xdr:from>
    <xdr:to>
      <xdr:col>1</xdr:col>
      <xdr:colOff>1085850</xdr:colOff>
      <xdr:row>82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80</xdr:row>
      <xdr:rowOff>19050</xdr:rowOff>
    </xdr:from>
    <xdr:to>
      <xdr:col>2</xdr:col>
      <xdr:colOff>0</xdr:colOff>
      <xdr:row>82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80</xdr:row>
      <xdr:rowOff>19050</xdr:rowOff>
    </xdr:from>
    <xdr:to>
      <xdr:col>1</xdr:col>
      <xdr:colOff>1085850</xdr:colOff>
      <xdr:row>82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80</xdr:row>
      <xdr:rowOff>19050</xdr:rowOff>
    </xdr:from>
    <xdr:to>
      <xdr:col>2</xdr:col>
      <xdr:colOff>0</xdr:colOff>
      <xdr:row>82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80</xdr:row>
      <xdr:rowOff>19050</xdr:rowOff>
    </xdr:from>
    <xdr:to>
      <xdr:col>1</xdr:col>
      <xdr:colOff>1085850</xdr:colOff>
      <xdr:row>82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80</xdr:row>
      <xdr:rowOff>19050</xdr:rowOff>
    </xdr:from>
    <xdr:to>
      <xdr:col>2</xdr:col>
      <xdr:colOff>0</xdr:colOff>
      <xdr:row>82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80</xdr:row>
      <xdr:rowOff>19050</xdr:rowOff>
    </xdr:from>
    <xdr:to>
      <xdr:col>1</xdr:col>
      <xdr:colOff>1085850</xdr:colOff>
      <xdr:row>82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abSelected="1" workbookViewId="0">
      <selection activeCell="F8" sqref="F8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3.285156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4"/>
    </row>
    <row r="2" spans="1:28"/>
    <row r="3" spans="1:28" ht="36.75" customHeight="1" thickBot="1">
      <c r="A3" s="151"/>
      <c r="B3" s="190" t="s">
        <v>350</v>
      </c>
      <c r="C3" s="262" t="s">
        <v>3481</v>
      </c>
      <c r="D3" s="263"/>
      <c r="E3" s="264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5" t="s">
        <v>3542</v>
      </c>
      <c r="D4" s="266"/>
      <c r="E4" s="267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5" t="s">
        <v>3482</v>
      </c>
      <c r="D5" s="266"/>
      <c r="E5" s="267"/>
      <c r="F5" s="151"/>
      <c r="G5" s="151"/>
      <c r="H5" s="151"/>
      <c r="I5" s="151"/>
      <c r="J5" s="151"/>
      <c r="K5" s="153" t="s">
        <v>360</v>
      </c>
      <c r="L5" s="153" t="s">
        <v>728</v>
      </c>
      <c r="M5" s="153" t="s">
        <v>361</v>
      </c>
      <c r="N5" s="153" t="s">
        <v>362</v>
      </c>
      <c r="O5" s="153" t="s">
        <v>363</v>
      </c>
      <c r="P5" s="153" t="s">
        <v>364</v>
      </c>
      <c r="Q5" s="153" t="s">
        <v>365</v>
      </c>
      <c r="R5" s="153" t="s">
        <v>366</v>
      </c>
      <c r="S5" s="153" t="s">
        <v>367</v>
      </c>
      <c r="T5" s="153" t="s">
        <v>726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5" t="s">
        <v>3483</v>
      </c>
      <c r="D6" s="266"/>
      <c r="E6" s="267"/>
      <c r="F6" s="151"/>
      <c r="G6" s="151"/>
      <c r="H6" s="151"/>
      <c r="I6" s="151"/>
      <c r="J6" s="151"/>
      <c r="K6" s="150">
        <v>0</v>
      </c>
      <c r="L6" s="150" t="s">
        <v>729</v>
      </c>
      <c r="T6" s="150" t="s">
        <v>755</v>
      </c>
      <c r="U6" s="150" t="s">
        <v>755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349</v>
      </c>
      <c r="C7" s="265" t="s">
        <v>3484</v>
      </c>
      <c r="D7" s="266"/>
      <c r="E7" s="267"/>
      <c r="F7" s="151"/>
      <c r="G7" s="151"/>
      <c r="H7" s="151"/>
      <c r="I7" s="151"/>
      <c r="J7" s="151"/>
      <c r="K7" s="215">
        <f t="shared" ref="K7:K70" si="0">+K6+1</f>
        <v>1</v>
      </c>
      <c r="L7" s="213" t="str">
        <f>M7&amp;""&amp;N7</f>
        <v xml:space="preserve">1222MINISTARSTVO ZNANOSTI I OBRAZOVANJA </v>
      </c>
      <c r="M7" s="213">
        <v>1222</v>
      </c>
      <c r="N7" s="216" t="s">
        <v>1946</v>
      </c>
      <c r="O7" s="217"/>
      <c r="P7" s="222" t="s">
        <v>368</v>
      </c>
      <c r="Q7" s="216" t="s">
        <v>369</v>
      </c>
      <c r="R7" s="214">
        <v>3271030</v>
      </c>
      <c r="S7" s="210" t="s">
        <v>1947</v>
      </c>
      <c r="T7" s="211" t="s">
        <v>1345</v>
      </c>
      <c r="U7" s="212" t="s">
        <v>1058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5">
        <f t="shared" si="0"/>
        <v>2</v>
      </c>
      <c r="L8" s="213" t="str">
        <f t="shared" ref="L8:L71" si="1">M8&amp;""&amp;N8</f>
        <v>2063FAKULTET ORGANIZACIJE I INFORMATIKE U VARAŽDINU</v>
      </c>
      <c r="M8" s="213">
        <v>2063</v>
      </c>
      <c r="N8" s="216" t="s">
        <v>582</v>
      </c>
      <c r="O8" s="217" t="s">
        <v>491</v>
      </c>
      <c r="P8" s="216" t="s">
        <v>583</v>
      </c>
      <c r="Q8" s="216" t="s">
        <v>539</v>
      </c>
      <c r="R8" s="214">
        <v>3006107</v>
      </c>
      <c r="S8" s="210" t="s">
        <v>584</v>
      </c>
      <c r="T8" s="211" t="s">
        <v>49</v>
      </c>
      <c r="U8" s="212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70" t="s">
        <v>3490</v>
      </c>
      <c r="C9" s="269"/>
      <c r="D9" s="269"/>
      <c r="E9" s="269"/>
      <c r="F9" s="151"/>
      <c r="G9" s="151"/>
      <c r="H9" s="151"/>
      <c r="I9" s="151"/>
      <c r="J9" s="151"/>
      <c r="K9" s="215">
        <f t="shared" si="0"/>
        <v>3</v>
      </c>
      <c r="L9" s="213" t="str">
        <f t="shared" si="1"/>
        <v>43749MEĐIMURSKO VELEUČILIŠTE U ČAKOVCU</v>
      </c>
      <c r="M9" s="213">
        <v>43749</v>
      </c>
      <c r="N9" s="216" t="s">
        <v>585</v>
      </c>
      <c r="O9" s="217" t="s">
        <v>586</v>
      </c>
      <c r="P9" s="216" t="s">
        <v>587</v>
      </c>
      <c r="Q9" s="216" t="s">
        <v>588</v>
      </c>
      <c r="R9" s="214">
        <v>2382512</v>
      </c>
      <c r="S9" s="210" t="s">
        <v>589</v>
      </c>
      <c r="T9" s="211" t="s">
        <v>49</v>
      </c>
      <c r="U9" s="212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70" t="s">
        <v>3</v>
      </c>
      <c r="C10" s="269"/>
      <c r="D10" s="269"/>
      <c r="E10" s="269"/>
      <c r="F10" s="151"/>
      <c r="G10" s="151"/>
      <c r="H10" s="151"/>
      <c r="I10" s="151"/>
      <c r="J10" s="151"/>
      <c r="K10" s="215">
        <f t="shared" si="0"/>
        <v>4</v>
      </c>
      <c r="L10" s="213" t="str">
        <f t="shared" si="1"/>
        <v>2452SVEUČILIŠTE J. J. STROSSMAYERA U OSIJEKU</v>
      </c>
      <c r="M10" s="213">
        <v>2452</v>
      </c>
      <c r="N10" s="216" t="s">
        <v>1948</v>
      </c>
      <c r="O10" s="223" t="s">
        <v>370</v>
      </c>
      <c r="P10" s="216" t="s">
        <v>371</v>
      </c>
      <c r="Q10" s="216" t="s">
        <v>372</v>
      </c>
      <c r="R10" s="214">
        <v>3049779</v>
      </c>
      <c r="S10" s="210" t="s">
        <v>373</v>
      </c>
      <c r="T10" s="211" t="s">
        <v>49</v>
      </c>
      <c r="U10" s="212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8"/>
      <c r="C11" s="269"/>
      <c r="D11" s="269"/>
      <c r="E11" s="269"/>
      <c r="F11" s="151"/>
      <c r="G11" s="151"/>
      <c r="H11" s="151"/>
      <c r="I11" s="151"/>
      <c r="J11" s="151"/>
      <c r="K11" s="215">
        <f t="shared" si="0"/>
        <v>5</v>
      </c>
      <c r="L11" s="213" t="str">
        <f t="shared" si="1"/>
        <v>50215SVEUČILIŠTE J. J. STROSSMAYERA U OSIJEKU - AKADEMIJA ZA UMJETNOST I KULTURU U OSIJEKU</v>
      </c>
      <c r="M11" s="213">
        <v>50215</v>
      </c>
      <c r="N11" s="216" t="s">
        <v>1949</v>
      </c>
      <c r="O11" s="223" t="s">
        <v>370</v>
      </c>
      <c r="P11" s="216" t="s">
        <v>397</v>
      </c>
      <c r="Q11" s="216" t="s">
        <v>372</v>
      </c>
      <c r="R11" s="214">
        <v>4907361</v>
      </c>
      <c r="S11" s="210" t="s">
        <v>1908</v>
      </c>
      <c r="T11" s="211" t="s">
        <v>49</v>
      </c>
      <c r="U11" s="212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5">
        <f t="shared" si="0"/>
        <v>6</v>
      </c>
      <c r="L12" s="213" t="str">
        <f t="shared" si="1"/>
        <v>2284SVEUČILIŠTE J. J. STROSSMAYERA U OSIJEKU - EKONOMSKI FAKULTET</v>
      </c>
      <c r="M12" s="213">
        <v>2284</v>
      </c>
      <c r="N12" s="216" t="s">
        <v>1950</v>
      </c>
      <c r="O12" s="223" t="s">
        <v>370</v>
      </c>
      <c r="P12" s="216" t="s">
        <v>374</v>
      </c>
      <c r="Q12" s="216" t="s">
        <v>372</v>
      </c>
      <c r="R12" s="214">
        <v>3021645</v>
      </c>
      <c r="S12" s="210" t="s">
        <v>375</v>
      </c>
      <c r="T12" s="211" t="s">
        <v>49</v>
      </c>
      <c r="U12" s="212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3491</v>
      </c>
      <c r="D13" s="158" t="s">
        <v>3492</v>
      </c>
      <c r="E13" s="158" t="s">
        <v>3485</v>
      </c>
      <c r="F13" s="159"/>
      <c r="G13" s="151"/>
      <c r="H13" s="151"/>
      <c r="I13" s="151"/>
      <c r="J13" s="151"/>
      <c r="K13" s="215">
        <f t="shared" si="0"/>
        <v>7</v>
      </c>
      <c r="L13" s="213" t="str">
        <f t="shared" si="1"/>
        <v>2268SVEUČILIŠTE J. J. STROSSMAYERA U OSIJEKU - FAKULTET AGROBIOTEHNIČKIH ZNANOSTI OSIJEK</v>
      </c>
      <c r="M13" s="213">
        <v>2268</v>
      </c>
      <c r="N13" s="216" t="s">
        <v>1951</v>
      </c>
      <c r="O13" s="223" t="s">
        <v>370</v>
      </c>
      <c r="P13" s="216" t="s">
        <v>385</v>
      </c>
      <c r="Q13" s="216" t="s">
        <v>372</v>
      </c>
      <c r="R13" s="214">
        <v>3058212</v>
      </c>
      <c r="S13" s="210" t="s">
        <v>386</v>
      </c>
      <c r="T13" s="211" t="s">
        <v>49</v>
      </c>
      <c r="U13" s="212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168690192.61557513</v>
      </c>
      <c r="D14" s="161">
        <f>+D15+D16</f>
        <v>205674302</v>
      </c>
      <c r="E14" s="161">
        <f>+E15+E16</f>
        <v>36984109.384424858</v>
      </c>
      <c r="F14" s="162"/>
      <c r="G14" s="151"/>
      <c r="H14" s="151"/>
      <c r="I14" s="151"/>
      <c r="J14" s="151"/>
      <c r="K14" s="215">
        <f t="shared" si="0"/>
        <v>8</v>
      </c>
      <c r="L14" s="213" t="str">
        <f t="shared" si="1"/>
        <v>2313SVEUČILIŠTE J. J. STROSSMAYERA U OSIJEKU - FAKULTET ELEKTROTEHNIKE, RAČUNARSTVA I INFORMACIJSKIH TEHNOLOGIJA OSIJEK</v>
      </c>
      <c r="M14" s="213">
        <v>2313</v>
      </c>
      <c r="N14" s="216" t="s">
        <v>1952</v>
      </c>
      <c r="O14" s="223" t="s">
        <v>370</v>
      </c>
      <c r="P14" s="216" t="s">
        <v>376</v>
      </c>
      <c r="Q14" s="216" t="s">
        <v>372</v>
      </c>
      <c r="R14" s="214">
        <v>3392589</v>
      </c>
      <c r="S14" s="210" t="s">
        <v>377</v>
      </c>
      <c r="T14" s="211" t="s">
        <v>49</v>
      </c>
      <c r="U14" s="212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'!D26</f>
        <v>168650192.61557513</v>
      </c>
      <c r="D15" s="164">
        <f>'PLAN PRIHODA I PRIMITAKA '!D65</f>
        <v>205644302</v>
      </c>
      <c r="E15" s="164">
        <f>'PLAN PRIHODA I PRIMITAKA '!D105</f>
        <v>36994109.384424858</v>
      </c>
      <c r="F15" s="151"/>
      <c r="G15" s="151"/>
      <c r="H15" s="151"/>
      <c r="I15" s="151"/>
      <c r="J15" s="151"/>
      <c r="K15" s="215">
        <f t="shared" si="0"/>
        <v>9</v>
      </c>
      <c r="L15" s="213" t="str">
        <f t="shared" si="1"/>
        <v>49796SVEUČILIŠTE J. J. STROSSMAYERA U OSIJEKU - FAKULTET ZA DENTALNU MEDICINU I ZDRAVSTVO</v>
      </c>
      <c r="M15" s="213">
        <v>49796</v>
      </c>
      <c r="N15" s="216" t="s">
        <v>1953</v>
      </c>
      <c r="O15" s="223" t="s">
        <v>370</v>
      </c>
      <c r="P15" s="216" t="s">
        <v>395</v>
      </c>
      <c r="Q15" s="216" t="s">
        <v>372</v>
      </c>
      <c r="R15" s="214">
        <v>4748875</v>
      </c>
      <c r="S15" s="210" t="s">
        <v>396</v>
      </c>
      <c r="T15" s="211" t="s">
        <v>49</v>
      </c>
      <c r="U15" s="212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'!D33</f>
        <v>40000</v>
      </c>
      <c r="D16" s="164">
        <f>'PLAN PRIHODA I PRIMITAKA '!D72</f>
        <v>30000</v>
      </c>
      <c r="E16" s="164">
        <f>'PLAN PRIHODA I PRIMITAKA '!D112</f>
        <v>-10000</v>
      </c>
      <c r="F16" s="151"/>
      <c r="G16" s="166"/>
      <c r="H16" s="151"/>
      <c r="I16" s="151"/>
      <c r="J16" s="151"/>
      <c r="K16" s="215">
        <f t="shared" si="0"/>
        <v>10</v>
      </c>
      <c r="L16" s="213" t="str">
        <f t="shared" si="1"/>
        <v>22486SVEUČILIŠTE J. J. STROSSMAYERA U OSIJEKU - FAKULTET ZA ODGOJNE I OBRAZOVNE ZNANOSTI</v>
      </c>
      <c r="M16" s="213">
        <v>22486</v>
      </c>
      <c r="N16" s="216" t="s">
        <v>1954</v>
      </c>
      <c r="O16" s="223" t="s">
        <v>370</v>
      </c>
      <c r="P16" s="216" t="s">
        <v>390</v>
      </c>
      <c r="Q16" s="216" t="s">
        <v>372</v>
      </c>
      <c r="R16" s="214">
        <v>1404881</v>
      </c>
      <c r="S16" s="210" t="s">
        <v>391</v>
      </c>
      <c r="T16" s="211" t="s">
        <v>49</v>
      </c>
      <c r="U16" s="212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172917370.92389888</v>
      </c>
      <c r="D17" s="168">
        <f>+D18+D19</f>
        <v>206558608.17999998</v>
      </c>
      <c r="E17" s="168">
        <f>+E18+E19</f>
        <v>33640243.656101108</v>
      </c>
      <c r="F17" s="151"/>
      <c r="G17" s="151"/>
      <c r="H17" s="151"/>
      <c r="I17" s="151"/>
      <c r="J17" s="151"/>
      <c r="K17" s="215">
        <f t="shared" si="0"/>
        <v>11</v>
      </c>
      <c r="L17" s="213" t="str">
        <f t="shared" si="1"/>
        <v>2321SVEUČILIŠTE J. J. STROSSMAYERA U OSIJEKU - FILOZOFSKI FAKULTET</v>
      </c>
      <c r="M17" s="213">
        <v>2321</v>
      </c>
      <c r="N17" s="216" t="s">
        <v>1955</v>
      </c>
      <c r="O17" s="223" t="s">
        <v>370</v>
      </c>
      <c r="P17" s="216" t="s">
        <v>378</v>
      </c>
      <c r="Q17" s="216" t="s">
        <v>372</v>
      </c>
      <c r="R17" s="214">
        <v>3014185</v>
      </c>
      <c r="S17" s="210" t="s">
        <v>379</v>
      </c>
      <c r="T17" s="211" t="s">
        <v>49</v>
      </c>
      <c r="U17" s="212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168643145.08483148</v>
      </c>
      <c r="D18" s="170">
        <f>'PLAN RASHODA I IZDATAKA'!D72</f>
        <v>184618314.43999997</v>
      </c>
      <c r="E18" s="170">
        <f>'PLAN RASHODA I IZDATAKA'!D92</f>
        <v>15974175.755168509</v>
      </c>
      <c r="F18" s="151"/>
      <c r="G18" s="151"/>
      <c r="H18" s="151"/>
      <c r="I18" s="151"/>
      <c r="J18" s="151"/>
      <c r="K18" s="215">
        <f t="shared" si="0"/>
        <v>12</v>
      </c>
      <c r="L18" s="213" t="str">
        <f t="shared" si="1"/>
        <v>2508SVEUČILIŠTE J. J. STROSSMAYERA U OSIJEKU - GRADSKA I SVEUČILIŠNA KNJIŽNICA</v>
      </c>
      <c r="M18" s="213">
        <v>2508</v>
      </c>
      <c r="N18" s="216" t="s">
        <v>1956</v>
      </c>
      <c r="O18" s="223" t="s">
        <v>370</v>
      </c>
      <c r="P18" s="216" t="s">
        <v>380</v>
      </c>
      <c r="Q18" s="216" t="s">
        <v>372</v>
      </c>
      <c r="R18" s="214">
        <v>3014347</v>
      </c>
      <c r="S18" s="210" t="s">
        <v>381</v>
      </c>
      <c r="T18" s="211" t="s">
        <v>49</v>
      </c>
      <c r="U18" s="212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4274225.8390673939</v>
      </c>
      <c r="D19" s="170">
        <f>'PLAN RASHODA I IZDATAKA'!D80</f>
        <v>21940293.739999998</v>
      </c>
      <c r="E19" s="170">
        <f>'PLAN RASHODA I IZDATAKA'!D100</f>
        <v>17666067.900932603</v>
      </c>
      <c r="F19" s="151"/>
      <c r="G19" s="151"/>
      <c r="H19" s="151"/>
      <c r="I19" s="151"/>
      <c r="J19" s="151"/>
      <c r="K19" s="215">
        <f t="shared" si="0"/>
        <v>13</v>
      </c>
      <c r="L19" s="213" t="str">
        <f t="shared" si="1"/>
        <v>2250SVEUČILIŠTE J. J. STROSSMAYERA U OSIJEKU - GRAĐEVINSKI I ARHITEKTONSKI FAKULTET OSIJEK</v>
      </c>
      <c r="M19" s="213">
        <v>2250</v>
      </c>
      <c r="N19" s="216" t="s">
        <v>1957</v>
      </c>
      <c r="O19" s="223" t="s">
        <v>370</v>
      </c>
      <c r="P19" s="216" t="s">
        <v>1907</v>
      </c>
      <c r="Q19" s="216" t="s">
        <v>372</v>
      </c>
      <c r="R19" s="214">
        <v>3397335</v>
      </c>
      <c r="S19" s="210" t="s">
        <v>382</v>
      </c>
      <c r="T19" s="211" t="s">
        <v>49</v>
      </c>
      <c r="U19" s="212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-4227178.308323741</v>
      </c>
      <c r="D20" s="161">
        <f>+D14-D17</f>
        <v>-884306.17999997735</v>
      </c>
      <c r="E20" s="161">
        <f>+E14-E17</f>
        <v>3343865.7283237502</v>
      </c>
      <c r="F20" s="151"/>
      <c r="G20" s="151"/>
      <c r="H20" s="151"/>
      <c r="I20" s="151"/>
      <c r="J20" s="151"/>
      <c r="K20" s="215">
        <f t="shared" si="0"/>
        <v>14</v>
      </c>
      <c r="L20" s="213" t="str">
        <f t="shared" si="1"/>
        <v>38479SVEUČILIŠTE J. J. STROSSMAYERA U OSIJEKU - KATOLIČKI BOGOSLOVNI FAKULTET U ĐAKOVU</v>
      </c>
      <c r="M20" s="213">
        <v>38479</v>
      </c>
      <c r="N20" s="216" t="s">
        <v>1958</v>
      </c>
      <c r="O20" s="223" t="s">
        <v>370</v>
      </c>
      <c r="P20" s="216" t="s">
        <v>392</v>
      </c>
      <c r="Q20" s="216" t="s">
        <v>393</v>
      </c>
      <c r="R20" s="214">
        <v>1986490</v>
      </c>
      <c r="S20" s="210" t="s">
        <v>394</v>
      </c>
      <c r="T20" s="211" t="s">
        <v>49</v>
      </c>
      <c r="U20" s="212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8"/>
      <c r="C21" s="269"/>
      <c r="D21" s="269"/>
      <c r="E21" s="269"/>
      <c r="F21" s="151"/>
      <c r="G21" s="151"/>
      <c r="H21" s="151"/>
      <c r="I21" s="151"/>
      <c r="J21" s="151"/>
      <c r="K21" s="215">
        <f t="shared" si="0"/>
        <v>15</v>
      </c>
      <c r="L21" s="213" t="str">
        <f t="shared" si="1"/>
        <v>51450SVEUČILIŠTE J. J. STROSSMAYERA U OSIJEKU - KINEZIOLOŠKI FAKULTET OSIJEK</v>
      </c>
      <c r="M21" s="213">
        <v>51450</v>
      </c>
      <c r="N21" s="216" t="s">
        <v>1959</v>
      </c>
      <c r="O21" s="223" t="s">
        <v>370</v>
      </c>
      <c r="P21" s="216" t="s">
        <v>1960</v>
      </c>
      <c r="Q21" s="216" t="s">
        <v>372</v>
      </c>
      <c r="R21" s="214">
        <v>5302099</v>
      </c>
      <c r="S21" s="210" t="s">
        <v>1961</v>
      </c>
      <c r="T21" s="211" t="s">
        <v>49</v>
      </c>
      <c r="U21" s="212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3491</v>
      </c>
      <c r="D22" s="158" t="s">
        <v>3492</v>
      </c>
      <c r="E22" s="158" t="s">
        <v>3485</v>
      </c>
      <c r="F22" s="151"/>
      <c r="G22" s="151"/>
      <c r="H22" s="166"/>
      <c r="I22" s="151"/>
      <c r="J22" s="151"/>
      <c r="K22" s="215">
        <f t="shared" si="0"/>
        <v>16</v>
      </c>
      <c r="L22" s="213" t="str">
        <f t="shared" si="1"/>
        <v>22849SVEUČILIŠTE J. J. STROSSMAYERA U OSIJEKU - MEDICINSKI FAKULTET</v>
      </c>
      <c r="M22" s="213">
        <v>22849</v>
      </c>
      <c r="N22" s="216" t="s">
        <v>1962</v>
      </c>
      <c r="O22" s="223" t="s">
        <v>370</v>
      </c>
      <c r="P22" s="216" t="s">
        <v>383</v>
      </c>
      <c r="Q22" s="216" t="s">
        <v>372</v>
      </c>
      <c r="R22" s="214">
        <v>1388142</v>
      </c>
      <c r="S22" s="210" t="s">
        <v>384</v>
      </c>
      <c r="T22" s="211" t="s">
        <v>49</v>
      </c>
      <c r="U22" s="212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30500000</v>
      </c>
      <c r="D23" s="169">
        <f>'PLAN PRIHODA I PRIMITAKA '!D43</f>
        <v>40186515</v>
      </c>
      <c r="E23" s="169">
        <f>'PLAN PRIHODA I PRIMITAKA '!D83</f>
        <v>9686515</v>
      </c>
      <c r="F23" s="151"/>
      <c r="G23" s="151"/>
      <c r="H23" s="172"/>
      <c r="I23" s="151"/>
      <c r="J23" s="151"/>
      <c r="K23" s="215">
        <f t="shared" si="0"/>
        <v>17</v>
      </c>
      <c r="L23" s="213" t="str">
        <f t="shared" si="1"/>
        <v>2292SVEUČILIŠTE J. J. STROSSMAYERA U OSIJEKU - PRAVNI FAKULTET</v>
      </c>
      <c r="M23" s="213">
        <v>2292</v>
      </c>
      <c r="N23" s="216" t="s">
        <v>1963</v>
      </c>
      <c r="O23" s="223" t="s">
        <v>370</v>
      </c>
      <c r="P23" s="216" t="s">
        <v>387</v>
      </c>
      <c r="Q23" s="216" t="s">
        <v>372</v>
      </c>
      <c r="R23" s="214">
        <v>3014193</v>
      </c>
      <c r="S23" s="210" t="s">
        <v>388</v>
      </c>
      <c r="T23" s="211" t="s">
        <v>49</v>
      </c>
      <c r="U23" s="212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-26272822</v>
      </c>
      <c r="D24" s="173">
        <f>'PLAN PRIHODA I PRIMITAKA '!D45</f>
        <v>-39302209</v>
      </c>
      <c r="E24" s="174">
        <f>'PLAN PRIHODA I PRIMITAKA '!D85</f>
        <v>-13030381</v>
      </c>
      <c r="F24" s="151"/>
      <c r="G24" s="151"/>
      <c r="H24" s="172"/>
      <c r="I24" s="151"/>
      <c r="J24" s="151"/>
      <c r="K24" s="215">
        <f t="shared" si="0"/>
        <v>18</v>
      </c>
      <c r="L24" s="213" t="str">
        <f t="shared" si="1"/>
        <v>2276SVEUČILIŠTE J. J. STROSSMAYERA U OSIJEKU - PREHRAMBENO TEHNOLOŠKI FAKULTET</v>
      </c>
      <c r="M24" s="213">
        <v>2276</v>
      </c>
      <c r="N24" s="216" t="s">
        <v>1964</v>
      </c>
      <c r="O24" s="223" t="s">
        <v>370</v>
      </c>
      <c r="P24" s="216" t="s">
        <v>1965</v>
      </c>
      <c r="Q24" s="216" t="s">
        <v>372</v>
      </c>
      <c r="R24" s="214">
        <v>3058204</v>
      </c>
      <c r="S24" s="210" t="s">
        <v>389</v>
      </c>
      <c r="T24" s="211" t="s">
        <v>49</v>
      </c>
      <c r="U24" s="212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8"/>
      <c r="C25" s="269"/>
      <c r="D25" s="269"/>
      <c r="E25" s="269"/>
      <c r="F25" s="151"/>
      <c r="G25" s="151"/>
      <c r="H25" s="151"/>
      <c r="I25" s="151"/>
      <c r="J25" s="151"/>
      <c r="K25" s="215">
        <f t="shared" si="0"/>
        <v>19</v>
      </c>
      <c r="L25" s="213" t="str">
        <f t="shared" si="1"/>
        <v>42024SVEUČILIŠTE JURJA DOBRILE U PULI</v>
      </c>
      <c r="M25" s="213">
        <v>42024</v>
      </c>
      <c r="N25" s="216" t="s">
        <v>398</v>
      </c>
      <c r="O25" s="217" t="s">
        <v>1975</v>
      </c>
      <c r="P25" s="216" t="s">
        <v>399</v>
      </c>
      <c r="Q25" s="216" t="s">
        <v>400</v>
      </c>
      <c r="R25" s="214">
        <v>2161753</v>
      </c>
      <c r="S25" s="210" t="s">
        <v>401</v>
      </c>
      <c r="T25" s="211" t="s">
        <v>49</v>
      </c>
      <c r="U25" s="212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3491</v>
      </c>
      <c r="D26" s="158" t="s">
        <v>3492</v>
      </c>
      <c r="E26" s="158" t="s">
        <v>3485</v>
      </c>
      <c r="F26" s="151"/>
      <c r="G26" s="151"/>
      <c r="H26" s="175"/>
      <c r="I26" s="151"/>
      <c r="J26" s="151"/>
      <c r="K26" s="215">
        <f t="shared" si="0"/>
        <v>20</v>
      </c>
      <c r="L26" s="213" t="str">
        <f t="shared" si="1"/>
        <v>48267SVEUČILIŠTE SJEVER</v>
      </c>
      <c r="M26" s="213">
        <v>48267</v>
      </c>
      <c r="N26" s="216" t="s">
        <v>402</v>
      </c>
      <c r="O26" s="217" t="s">
        <v>402</v>
      </c>
      <c r="P26" s="216" t="s">
        <v>1910</v>
      </c>
      <c r="Q26" s="216" t="s">
        <v>403</v>
      </c>
      <c r="R26" s="214">
        <v>2752298</v>
      </c>
      <c r="S26" s="210" t="s">
        <v>404</v>
      </c>
      <c r="T26" s="211" t="s">
        <v>49</v>
      </c>
      <c r="U26" s="212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'!D38</f>
        <v>0</v>
      </c>
      <c r="D27" s="164">
        <f>'PLAN PRIHODA I PRIMITAKA '!D78</f>
        <v>0</v>
      </c>
      <c r="E27" s="164">
        <f>'PLAN PRIHODA I PRIMITAKA '!D118</f>
        <v>0</v>
      </c>
      <c r="F27" s="151"/>
      <c r="G27" s="151"/>
      <c r="H27" s="151"/>
      <c r="I27" s="151"/>
      <c r="J27" s="151"/>
      <c r="K27" s="215">
        <f t="shared" si="0"/>
        <v>21</v>
      </c>
      <c r="L27" s="213" t="str">
        <f t="shared" si="1"/>
        <v>24141SVEUČILIŠTE U DUBROVNIKU</v>
      </c>
      <c r="M27" s="213">
        <v>24141</v>
      </c>
      <c r="N27" s="216" t="s">
        <v>405</v>
      </c>
      <c r="O27" s="217" t="s">
        <v>405</v>
      </c>
      <c r="P27" s="216" t="s">
        <v>406</v>
      </c>
      <c r="Q27" s="216" t="s">
        <v>407</v>
      </c>
      <c r="R27" s="214">
        <v>1787578</v>
      </c>
      <c r="S27" s="210" t="s">
        <v>408</v>
      </c>
      <c r="T27" s="211" t="s">
        <v>49</v>
      </c>
      <c r="U27" s="212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5">
        <f t="shared" si="0"/>
        <v>22</v>
      </c>
      <c r="L28" s="213" t="str">
        <f t="shared" si="1"/>
        <v>2444SVEUČILIŠTE U RIJECI</v>
      </c>
      <c r="M28" s="213">
        <v>2444</v>
      </c>
      <c r="N28" s="216" t="s">
        <v>412</v>
      </c>
      <c r="O28" s="156" t="s">
        <v>412</v>
      </c>
      <c r="P28" s="216" t="s">
        <v>413</v>
      </c>
      <c r="Q28" s="216" t="s">
        <v>414</v>
      </c>
      <c r="R28" s="214">
        <v>3337413</v>
      </c>
      <c r="S28" s="210" t="s">
        <v>415</v>
      </c>
      <c r="T28" s="211" t="s">
        <v>49</v>
      </c>
      <c r="U28" s="212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5">
        <f t="shared" si="0"/>
        <v>23</v>
      </c>
      <c r="L29" s="213" t="str">
        <f t="shared" si="1"/>
        <v>38454SVEUČILIŠTE U RIJECI - AKADEMIJA PRIMJENJENIH UMJETNOSTI</v>
      </c>
      <c r="M29" s="213">
        <v>38454</v>
      </c>
      <c r="N29" s="216" t="s">
        <v>416</v>
      </c>
      <c r="O29" s="156" t="s">
        <v>412</v>
      </c>
      <c r="P29" s="216" t="s">
        <v>417</v>
      </c>
      <c r="Q29" s="216" t="s">
        <v>414</v>
      </c>
      <c r="R29" s="214">
        <v>1954253</v>
      </c>
      <c r="S29" s="210" t="s">
        <v>418</v>
      </c>
      <c r="T29" s="211" t="s">
        <v>49</v>
      </c>
      <c r="U29" s="212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8"/>
      <c r="C30" s="269"/>
      <c r="D30" s="269"/>
      <c r="E30" s="269"/>
      <c r="F30" s="151"/>
      <c r="G30" s="151"/>
      <c r="H30" s="151"/>
      <c r="I30" s="151"/>
      <c r="J30" s="151"/>
      <c r="K30" s="215">
        <f t="shared" si="0"/>
        <v>24</v>
      </c>
      <c r="L30" s="213" t="str">
        <f t="shared" si="1"/>
        <v>2186SVEUČILIŠTE U RIJECI - EKONOMSKI FAKULTET</v>
      </c>
      <c r="M30" s="213">
        <v>2186</v>
      </c>
      <c r="N30" s="216" t="s">
        <v>419</v>
      </c>
      <c r="O30" s="156" t="s">
        <v>412</v>
      </c>
      <c r="P30" s="216" t="s">
        <v>420</v>
      </c>
      <c r="Q30" s="216" t="s">
        <v>414</v>
      </c>
      <c r="R30" s="214">
        <v>3328627</v>
      </c>
      <c r="S30" s="210" t="s">
        <v>421</v>
      </c>
      <c r="T30" s="211" t="s">
        <v>49</v>
      </c>
      <c r="U30" s="212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-0.30832374095916748</v>
      </c>
      <c r="D31" s="178">
        <f>+D20+D23+D24+D29</f>
        <v>-0.17999997735023499</v>
      </c>
      <c r="E31" s="178">
        <f>+E20+E23+E24+E29</f>
        <v>-0.27167624980211258</v>
      </c>
      <c r="F31" s="151"/>
      <c r="G31" s="179"/>
      <c r="H31" s="151"/>
      <c r="I31" s="151"/>
      <c r="J31" s="151"/>
      <c r="K31" s="215">
        <f t="shared" si="0"/>
        <v>25</v>
      </c>
      <c r="L31" s="213" t="str">
        <f t="shared" si="1"/>
        <v>2194SVEUČILIŠTE U RIJECI - FAKULTET ZA MENADŽMENT U TURIZMU I UGOSTITELJSTVU</v>
      </c>
      <c r="M31" s="213">
        <v>2194</v>
      </c>
      <c r="N31" s="216" t="s">
        <v>422</v>
      </c>
      <c r="O31" s="156" t="s">
        <v>412</v>
      </c>
      <c r="P31" s="216" t="s">
        <v>423</v>
      </c>
      <c r="Q31" s="216" t="s">
        <v>424</v>
      </c>
      <c r="R31" s="214">
        <v>3091732</v>
      </c>
      <c r="S31" s="210" t="s">
        <v>425</v>
      </c>
      <c r="T31" s="211" t="s">
        <v>49</v>
      </c>
      <c r="U31" s="212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5">
        <f t="shared" si="0"/>
        <v>26</v>
      </c>
      <c r="L32" s="213" t="str">
        <f t="shared" si="1"/>
        <v>48023SVEUČILIŠTE U RIJECI - FAKULTET ZDRAVSTVENIH STUDIJA U RIJECI</v>
      </c>
      <c r="M32" s="213">
        <v>48023</v>
      </c>
      <c r="N32" s="216" t="s">
        <v>449</v>
      </c>
      <c r="O32" s="156" t="s">
        <v>412</v>
      </c>
      <c r="P32" s="216" t="s">
        <v>450</v>
      </c>
      <c r="Q32" s="216" t="s">
        <v>414</v>
      </c>
      <c r="R32" s="214" t="s">
        <v>451</v>
      </c>
      <c r="S32" s="210" t="s">
        <v>452</v>
      </c>
      <c r="T32" s="211" t="s">
        <v>49</v>
      </c>
      <c r="U32" s="212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5">
        <f t="shared" si="0"/>
        <v>27</v>
      </c>
      <c r="L33" s="213" t="str">
        <f t="shared" si="1"/>
        <v>22857SVEUČILIŠTE U RIJECI - FILOZOFSKI FAKULTET</v>
      </c>
      <c r="M33" s="213">
        <v>22857</v>
      </c>
      <c r="N33" s="216" t="s">
        <v>426</v>
      </c>
      <c r="O33" s="156" t="s">
        <v>412</v>
      </c>
      <c r="P33" s="216" t="s">
        <v>427</v>
      </c>
      <c r="Q33" s="216" t="s">
        <v>414</v>
      </c>
      <c r="R33" s="214">
        <v>3368491</v>
      </c>
      <c r="S33" s="210" t="s">
        <v>428</v>
      </c>
      <c r="T33" s="211" t="s">
        <v>49</v>
      </c>
      <c r="U33" s="212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5">
        <f t="shared" si="0"/>
        <v>28</v>
      </c>
      <c r="L34" s="213" t="str">
        <f t="shared" si="1"/>
        <v>2160SVEUČILIŠTE U RIJECI - GRAĐEVINSKI FAKULTET</v>
      </c>
      <c r="M34" s="213">
        <v>2160</v>
      </c>
      <c r="N34" s="216" t="s">
        <v>1911</v>
      </c>
      <c r="O34" s="156" t="s">
        <v>412</v>
      </c>
      <c r="P34" s="216" t="s">
        <v>429</v>
      </c>
      <c r="Q34" s="216" t="s">
        <v>414</v>
      </c>
      <c r="R34" s="214">
        <v>3395855</v>
      </c>
      <c r="S34" s="210" t="s">
        <v>430</v>
      </c>
      <c r="T34" s="211" t="s">
        <v>49</v>
      </c>
      <c r="U34" s="212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5">
        <f t="shared" si="0"/>
        <v>29</v>
      </c>
      <c r="L35" s="213" t="str">
        <f t="shared" si="1"/>
        <v>2225SVEUČILIŠTE U RIJECI - MEDICINSKI FAKULTET</v>
      </c>
      <c r="M35" s="213">
        <v>2225</v>
      </c>
      <c r="N35" s="216" t="s">
        <v>431</v>
      </c>
      <c r="O35" s="156" t="s">
        <v>412</v>
      </c>
      <c r="P35" s="216" t="s">
        <v>432</v>
      </c>
      <c r="Q35" s="216" t="s">
        <v>414</v>
      </c>
      <c r="R35" s="214">
        <v>3328554</v>
      </c>
      <c r="S35" s="210" t="s">
        <v>433</v>
      </c>
      <c r="T35" s="211" t="s">
        <v>49</v>
      </c>
      <c r="U35" s="212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5">
        <f t="shared" si="0"/>
        <v>30</v>
      </c>
      <c r="L36" s="213" t="str">
        <f t="shared" si="1"/>
        <v>22568SVEUČILIŠTE U RIJECI - POMORSKI FAKULTET</v>
      </c>
      <c r="M36" s="213">
        <v>22568</v>
      </c>
      <c r="N36" s="216" t="s">
        <v>434</v>
      </c>
      <c r="O36" s="156" t="s">
        <v>412</v>
      </c>
      <c r="P36" s="216" t="s">
        <v>435</v>
      </c>
      <c r="Q36" s="216" t="s">
        <v>414</v>
      </c>
      <c r="R36" s="214">
        <v>1580485</v>
      </c>
      <c r="S36" s="210" t="s">
        <v>436</v>
      </c>
      <c r="T36" s="211" t="s">
        <v>49</v>
      </c>
      <c r="U36" s="212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5">
        <f t="shared" si="0"/>
        <v>31</v>
      </c>
      <c r="L37" s="213" t="str">
        <f t="shared" si="1"/>
        <v>2217SVEUČILIŠTE U RIJECI - PRAVNI FAKULTET</v>
      </c>
      <c r="M37" s="213">
        <v>2217</v>
      </c>
      <c r="N37" s="216" t="s">
        <v>437</v>
      </c>
      <c r="O37" s="156" t="s">
        <v>412</v>
      </c>
      <c r="P37" s="216" t="s">
        <v>438</v>
      </c>
      <c r="Q37" s="216" t="s">
        <v>414</v>
      </c>
      <c r="R37" s="214">
        <v>3328562</v>
      </c>
      <c r="S37" s="210" t="s">
        <v>439</v>
      </c>
      <c r="T37" s="211" t="s">
        <v>49</v>
      </c>
      <c r="U37" s="212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5">
        <f t="shared" si="0"/>
        <v>32</v>
      </c>
      <c r="L38" s="213" t="str">
        <f t="shared" si="1"/>
        <v>2493SVEUČILIŠTE U RIJECI - SVEUČILIŠNA KNJIŽNICA</v>
      </c>
      <c r="M38" s="213">
        <v>2493</v>
      </c>
      <c r="N38" s="216" t="s">
        <v>440</v>
      </c>
      <c r="O38" s="156" t="s">
        <v>412</v>
      </c>
      <c r="P38" s="216" t="s">
        <v>441</v>
      </c>
      <c r="Q38" s="216" t="s">
        <v>414</v>
      </c>
      <c r="R38" s="214">
        <v>3328686</v>
      </c>
      <c r="S38" s="210" t="s">
        <v>442</v>
      </c>
      <c r="T38" s="211" t="s">
        <v>49</v>
      </c>
      <c r="U38" s="212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5">
        <f t="shared" si="0"/>
        <v>33</v>
      </c>
      <c r="L39" s="213" t="str">
        <f t="shared" si="1"/>
        <v>2151SVEUČILIŠTE U RIJECI - TEHNIČKI FAKULTET</v>
      </c>
      <c r="M39" s="213">
        <v>2151</v>
      </c>
      <c r="N39" s="216" t="s">
        <v>443</v>
      </c>
      <c r="O39" s="156" t="s">
        <v>412</v>
      </c>
      <c r="P39" s="216" t="s">
        <v>444</v>
      </c>
      <c r="Q39" s="216" t="s">
        <v>414</v>
      </c>
      <c r="R39" s="214">
        <v>3334317</v>
      </c>
      <c r="S39" s="210" t="s">
        <v>445</v>
      </c>
      <c r="T39" s="211" t="s">
        <v>49</v>
      </c>
      <c r="U39" s="212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5">
        <f t="shared" si="0"/>
        <v>34</v>
      </c>
      <c r="L40" s="213" t="str">
        <f t="shared" si="1"/>
        <v>40947SVEUČILIŠTE U RIJECI - UČITELJSKI FAKULTET</v>
      </c>
      <c r="M40" s="213">
        <v>40947</v>
      </c>
      <c r="N40" s="216" t="s">
        <v>446</v>
      </c>
      <c r="O40" s="156" t="s">
        <v>412</v>
      </c>
      <c r="P40" s="216" t="s">
        <v>447</v>
      </c>
      <c r="Q40" s="216" t="s">
        <v>414</v>
      </c>
      <c r="R40" s="214">
        <v>2116073</v>
      </c>
      <c r="S40" s="210" t="s">
        <v>448</v>
      </c>
      <c r="T40" s="211" t="s">
        <v>49</v>
      </c>
      <c r="U40" s="212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5">
        <f t="shared" si="0"/>
        <v>35</v>
      </c>
      <c r="L41" s="213" t="str">
        <f t="shared" si="1"/>
        <v>51360SVEUČILIŠTE U SLAVONSKOM BRODU</v>
      </c>
      <c r="M41" s="213">
        <v>51360</v>
      </c>
      <c r="N41" s="216" t="s">
        <v>1909</v>
      </c>
      <c r="O41" s="223" t="s">
        <v>1909</v>
      </c>
      <c r="P41" s="216" t="s">
        <v>1966</v>
      </c>
      <c r="Q41" s="216" t="s">
        <v>1967</v>
      </c>
      <c r="R41" s="214">
        <v>5290538</v>
      </c>
      <c r="S41" s="210" t="s">
        <v>1968</v>
      </c>
      <c r="T41" s="211" t="s">
        <v>49</v>
      </c>
      <c r="U41" s="212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5">
        <f t="shared" si="0"/>
        <v>36</v>
      </c>
      <c r="L42" s="213" t="str">
        <f t="shared" si="1"/>
        <v>2469SVEUČILIŠTE U SPLITU</v>
      </c>
      <c r="M42" s="213">
        <v>2469</v>
      </c>
      <c r="N42" s="216" t="s">
        <v>453</v>
      </c>
      <c r="O42" s="217" t="s">
        <v>453</v>
      </c>
      <c r="P42" s="216" t="s">
        <v>463</v>
      </c>
      <c r="Q42" s="216" t="s">
        <v>454</v>
      </c>
      <c r="R42" s="214">
        <v>3129306</v>
      </c>
      <c r="S42" s="210" t="s">
        <v>455</v>
      </c>
      <c r="T42" s="211" t="s">
        <v>49</v>
      </c>
      <c r="U42" s="212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5">
        <f t="shared" si="0"/>
        <v>37</v>
      </c>
      <c r="L43" s="213" t="str">
        <f t="shared" si="1"/>
        <v>2372SVEUČILIŠTE U SPLITU - EKONOMSKI FAKULTET</v>
      </c>
      <c r="M43" s="213">
        <v>2372</v>
      </c>
      <c r="N43" s="216" t="s">
        <v>456</v>
      </c>
      <c r="O43" s="217" t="s">
        <v>453</v>
      </c>
      <c r="P43" s="216" t="s">
        <v>457</v>
      </c>
      <c r="Q43" s="216" t="s">
        <v>454</v>
      </c>
      <c r="R43" s="214">
        <v>3119076</v>
      </c>
      <c r="S43" s="210" t="s">
        <v>458</v>
      </c>
      <c r="T43" s="211" t="s">
        <v>49</v>
      </c>
      <c r="U43" s="212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5">
        <f t="shared" si="0"/>
        <v>38</v>
      </c>
      <c r="L44" s="213" t="str">
        <f t="shared" si="1"/>
        <v>2330SVEUČILIŠTE U SPLITU - FAKULTET ELEKTROTEHNIKE, STROJARSTVA I BRODOGRADNJE</v>
      </c>
      <c r="M44" s="213">
        <v>2330</v>
      </c>
      <c r="N44" s="216" t="s">
        <v>459</v>
      </c>
      <c r="O44" s="217" t="s">
        <v>453</v>
      </c>
      <c r="P44" s="216" t="s">
        <v>460</v>
      </c>
      <c r="Q44" s="216" t="s">
        <v>454</v>
      </c>
      <c r="R44" s="214">
        <v>3118339</v>
      </c>
      <c r="S44" s="210" t="s">
        <v>461</v>
      </c>
      <c r="T44" s="211" t="s">
        <v>49</v>
      </c>
      <c r="U44" s="212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5">
        <f t="shared" si="0"/>
        <v>39</v>
      </c>
      <c r="L45" s="213" t="str">
        <f t="shared" si="1"/>
        <v>2348SVEUČILIŠTE U SPLITU - FAKULTET GRAĐEVINARSTVA, ARHITEKTURE I GEODEZIJE</v>
      </c>
      <c r="M45" s="213">
        <v>2348</v>
      </c>
      <c r="N45" s="216" t="s">
        <v>465</v>
      </c>
      <c r="O45" s="217" t="s">
        <v>453</v>
      </c>
      <c r="P45" s="216" t="s">
        <v>466</v>
      </c>
      <c r="Q45" s="216" t="s">
        <v>454</v>
      </c>
      <c r="R45" s="214">
        <v>3149463</v>
      </c>
      <c r="S45" s="210" t="s">
        <v>467</v>
      </c>
      <c r="T45" s="211" t="s">
        <v>49</v>
      </c>
      <c r="U45" s="212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5">
        <f t="shared" si="0"/>
        <v>40</v>
      </c>
      <c r="L46" s="213" t="str">
        <f t="shared" si="1"/>
        <v>22435SVEUČILIŠTE U SPLITU - FILOZOFSKI FAKULTET</v>
      </c>
      <c r="M46" s="213">
        <v>22435</v>
      </c>
      <c r="N46" s="216" t="s">
        <v>462</v>
      </c>
      <c r="O46" s="217" t="s">
        <v>453</v>
      </c>
      <c r="P46" s="216" t="s">
        <v>463</v>
      </c>
      <c r="Q46" s="216" t="s">
        <v>454</v>
      </c>
      <c r="R46" s="214">
        <v>1413236</v>
      </c>
      <c r="S46" s="210" t="s">
        <v>464</v>
      </c>
      <c r="T46" s="211" t="s">
        <v>49</v>
      </c>
      <c r="U46" s="212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5">
        <f t="shared" si="0"/>
        <v>41</v>
      </c>
      <c r="L47" s="213" t="str">
        <f t="shared" si="1"/>
        <v>23368SVEUČILIŠTE U SPLITU - KATOLIČKI BOGOSLOVNI FAKULTET</v>
      </c>
      <c r="M47" s="213">
        <v>23368</v>
      </c>
      <c r="N47" s="216" t="s">
        <v>473</v>
      </c>
      <c r="O47" s="217" t="s">
        <v>453</v>
      </c>
      <c r="P47" s="216" t="s">
        <v>474</v>
      </c>
      <c r="Q47" s="216" t="s">
        <v>454</v>
      </c>
      <c r="R47" s="214">
        <v>1465643</v>
      </c>
      <c r="S47" s="210">
        <v>36149548625</v>
      </c>
      <c r="T47" s="211" t="s">
        <v>49</v>
      </c>
      <c r="U47" s="212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5">
        <f t="shared" si="0"/>
        <v>42</v>
      </c>
      <c r="L48" s="213" t="str">
        <f t="shared" si="1"/>
        <v>2356SVEUČILIŠTE U SPLITU - KEMIJSKO-TEHNOLOŠKI FAKULTET</v>
      </c>
      <c r="M48" s="213">
        <v>2356</v>
      </c>
      <c r="N48" s="216" t="s">
        <v>468</v>
      </c>
      <c r="O48" s="217" t="s">
        <v>453</v>
      </c>
      <c r="P48" s="216" t="s">
        <v>1912</v>
      </c>
      <c r="Q48" s="216" t="s">
        <v>454</v>
      </c>
      <c r="R48" s="214">
        <v>3119068</v>
      </c>
      <c r="S48" s="210" t="s">
        <v>469</v>
      </c>
      <c r="T48" s="211" t="s">
        <v>49</v>
      </c>
      <c r="U48" s="212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5">
        <f t="shared" si="0"/>
        <v>43</v>
      </c>
      <c r="L49" s="213" t="str">
        <f t="shared" si="1"/>
        <v>43773SVEUČILIŠTE U SPLITU - KINEZIOLOŠKI FAKULTET</v>
      </c>
      <c r="M49" s="213">
        <v>43773</v>
      </c>
      <c r="N49" s="216" t="s">
        <v>470</v>
      </c>
      <c r="O49" s="217" t="s">
        <v>453</v>
      </c>
      <c r="P49" s="216" t="s">
        <v>471</v>
      </c>
      <c r="Q49" s="216" t="s">
        <v>454</v>
      </c>
      <c r="R49" s="214">
        <v>2393255</v>
      </c>
      <c r="S49" s="210" t="s">
        <v>472</v>
      </c>
      <c r="T49" s="211" t="s">
        <v>49</v>
      </c>
      <c r="U49" s="212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5">
        <f t="shared" si="0"/>
        <v>44</v>
      </c>
      <c r="L50" s="213" t="str">
        <f t="shared" si="1"/>
        <v>22451SVEUČILIŠTE U SPLITU - MEDICINSKI FAKULTET</v>
      </c>
      <c r="M50" s="213">
        <v>22451</v>
      </c>
      <c r="N50" s="216" t="s">
        <v>475</v>
      </c>
      <c r="O50" s="217" t="s">
        <v>453</v>
      </c>
      <c r="P50" s="216" t="s">
        <v>476</v>
      </c>
      <c r="Q50" s="216" t="s">
        <v>454</v>
      </c>
      <c r="R50" s="214">
        <v>1315366</v>
      </c>
      <c r="S50" s="210" t="s">
        <v>477</v>
      </c>
      <c r="T50" s="211" t="s">
        <v>49</v>
      </c>
      <c r="U50" s="212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5">
        <f t="shared" si="0"/>
        <v>45</v>
      </c>
      <c r="L51" s="213" t="str">
        <f t="shared" si="1"/>
        <v>22460SVEUČILIŠTE U SPLITU - POMORSKI FAKULTET</v>
      </c>
      <c r="M51" s="213">
        <v>22460</v>
      </c>
      <c r="N51" s="216" t="s">
        <v>478</v>
      </c>
      <c r="O51" s="217" t="s">
        <v>453</v>
      </c>
      <c r="P51" s="216" t="s">
        <v>1913</v>
      </c>
      <c r="Q51" s="216" t="s">
        <v>454</v>
      </c>
      <c r="R51" s="214">
        <v>1406043</v>
      </c>
      <c r="S51" s="210" t="s">
        <v>479</v>
      </c>
      <c r="T51" s="211" t="s">
        <v>49</v>
      </c>
      <c r="U51" s="212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5">
        <f t="shared" si="0"/>
        <v>46</v>
      </c>
      <c r="L52" s="213" t="str">
        <f t="shared" si="1"/>
        <v>2397SVEUČILIŠTE U SPLITU - PRAVNI FAKULTET</v>
      </c>
      <c r="M52" s="213">
        <v>2397</v>
      </c>
      <c r="N52" s="216" t="s">
        <v>480</v>
      </c>
      <c r="O52" s="217" t="s">
        <v>453</v>
      </c>
      <c r="P52" s="216" t="s">
        <v>481</v>
      </c>
      <c r="Q52" s="216" t="s">
        <v>454</v>
      </c>
      <c r="R52" s="214">
        <v>3118347</v>
      </c>
      <c r="S52" s="210" t="s">
        <v>482</v>
      </c>
      <c r="T52" s="211" t="s">
        <v>49</v>
      </c>
      <c r="U52" s="212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5">
        <f t="shared" si="0"/>
        <v>47</v>
      </c>
      <c r="L53" s="213" t="str">
        <f t="shared" si="1"/>
        <v>2410SVEUČILIŠTE U SPLITU - PRIRODOSLOVNO - MATEMATIČKI FAKULTET</v>
      </c>
      <c r="M53" s="213">
        <v>2410</v>
      </c>
      <c r="N53" s="216" t="s">
        <v>483</v>
      </c>
      <c r="O53" s="217" t="s">
        <v>453</v>
      </c>
      <c r="P53" s="216" t="s">
        <v>1914</v>
      </c>
      <c r="Q53" s="216" t="s">
        <v>454</v>
      </c>
      <c r="R53" s="214">
        <v>3199622</v>
      </c>
      <c r="S53" s="210" t="s">
        <v>484</v>
      </c>
      <c r="T53" s="211" t="s">
        <v>49</v>
      </c>
      <c r="U53" s="212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5">
        <f t="shared" si="0"/>
        <v>48</v>
      </c>
      <c r="L54" s="213" t="str">
        <f t="shared" si="1"/>
        <v>2524SVEUČILIŠTE U SPLITU - SVEUČILIŠNA KNJIŽNICA</v>
      </c>
      <c r="M54" s="213">
        <v>2524</v>
      </c>
      <c r="N54" s="216" t="s">
        <v>485</v>
      </c>
      <c r="O54" s="217" t="s">
        <v>453</v>
      </c>
      <c r="P54" s="216" t="s">
        <v>486</v>
      </c>
      <c r="Q54" s="216" t="s">
        <v>454</v>
      </c>
      <c r="R54" s="214">
        <v>3118436</v>
      </c>
      <c r="S54" s="210" t="s">
        <v>487</v>
      </c>
      <c r="T54" s="211" t="s">
        <v>49</v>
      </c>
      <c r="U54" s="212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5">
        <f t="shared" si="0"/>
        <v>49</v>
      </c>
      <c r="L55" s="213" t="str">
        <f t="shared" si="1"/>
        <v>22478SVEUČILIŠTE U SPLITU - UMJETNIČKA AKADEMIJA</v>
      </c>
      <c r="M55" s="213">
        <v>22478</v>
      </c>
      <c r="N55" s="216" t="s">
        <v>488</v>
      </c>
      <c r="O55" s="217" t="s">
        <v>453</v>
      </c>
      <c r="P55" s="216" t="s">
        <v>489</v>
      </c>
      <c r="Q55" s="216" t="s">
        <v>454</v>
      </c>
      <c r="R55" s="214">
        <v>1321358</v>
      </c>
      <c r="S55" s="210" t="s">
        <v>490</v>
      </c>
      <c r="T55" s="211" t="s">
        <v>49</v>
      </c>
      <c r="U55" s="212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5">
        <f t="shared" si="0"/>
        <v>50</v>
      </c>
      <c r="L56" s="213" t="str">
        <f t="shared" si="1"/>
        <v>23815SVEUČILIŠTE U ZADRU</v>
      </c>
      <c r="M56" s="213">
        <v>23815</v>
      </c>
      <c r="N56" s="216" t="s">
        <v>409</v>
      </c>
      <c r="O56" s="217" t="s">
        <v>409</v>
      </c>
      <c r="P56" s="216" t="s">
        <v>1915</v>
      </c>
      <c r="Q56" s="216" t="s">
        <v>410</v>
      </c>
      <c r="R56" s="214">
        <v>1695525</v>
      </c>
      <c r="S56" s="210" t="s">
        <v>411</v>
      </c>
      <c r="T56" s="211" t="s">
        <v>49</v>
      </c>
      <c r="U56" s="212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5">
        <f t="shared" si="0"/>
        <v>51</v>
      </c>
      <c r="L57" s="213" t="str">
        <f t="shared" si="1"/>
        <v>2436SVEUČILIŠTE U ZAGREBU</v>
      </c>
      <c r="M57" s="213">
        <v>2436</v>
      </c>
      <c r="N57" s="216" t="s">
        <v>491</v>
      </c>
      <c r="O57" s="217" t="s">
        <v>491</v>
      </c>
      <c r="P57" s="216" t="s">
        <v>559</v>
      </c>
      <c r="Q57" s="216" t="s">
        <v>369</v>
      </c>
      <c r="R57" s="214">
        <v>3211592</v>
      </c>
      <c r="S57" s="210" t="s">
        <v>492</v>
      </c>
      <c r="T57" s="211" t="s">
        <v>49</v>
      </c>
      <c r="U57" s="212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5">
        <f t="shared" si="0"/>
        <v>52</v>
      </c>
      <c r="L58" s="213" t="str">
        <f t="shared" si="1"/>
        <v>1923SVEUČILIŠTE U ZAGREBU - AGRONOMSKI FAKULTET</v>
      </c>
      <c r="M58" s="213">
        <v>1923</v>
      </c>
      <c r="N58" s="216" t="s">
        <v>493</v>
      </c>
      <c r="O58" s="217" t="s">
        <v>491</v>
      </c>
      <c r="P58" s="216" t="s">
        <v>494</v>
      </c>
      <c r="Q58" s="216" t="s">
        <v>369</v>
      </c>
      <c r="R58" s="214">
        <v>3283097</v>
      </c>
      <c r="S58" s="210" t="s">
        <v>495</v>
      </c>
      <c r="T58" s="211" t="s">
        <v>49</v>
      </c>
      <c r="U58" s="212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5">
        <f t="shared" si="0"/>
        <v>53</v>
      </c>
      <c r="L59" s="213" t="str">
        <f t="shared" si="1"/>
        <v>1974SVEUČILIŠTE U ZAGREBU - AKADEMIJA DRAMSKE UMJETNOSTI</v>
      </c>
      <c r="M59" s="213">
        <v>1974</v>
      </c>
      <c r="N59" s="216" t="s">
        <v>496</v>
      </c>
      <c r="O59" s="217" t="s">
        <v>491</v>
      </c>
      <c r="P59" s="216" t="s">
        <v>497</v>
      </c>
      <c r="Q59" s="216" t="s">
        <v>369</v>
      </c>
      <c r="R59" s="214">
        <v>3205029</v>
      </c>
      <c r="S59" s="210" t="s">
        <v>498</v>
      </c>
      <c r="T59" s="211" t="s">
        <v>49</v>
      </c>
      <c r="U59" s="212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5">
        <f t="shared" si="0"/>
        <v>54</v>
      </c>
      <c r="L60" s="213" t="str">
        <f t="shared" si="1"/>
        <v>1982SVEUČILIŠTE U ZAGREBU - AKADEMIJA LIKOVNIH UMJETNOSTI</v>
      </c>
      <c r="M60" s="213">
        <v>1982</v>
      </c>
      <c r="N60" s="216" t="s">
        <v>499</v>
      </c>
      <c r="O60" s="217" t="s">
        <v>491</v>
      </c>
      <c r="P60" s="216" t="s">
        <v>500</v>
      </c>
      <c r="Q60" s="216" t="s">
        <v>369</v>
      </c>
      <c r="R60" s="214">
        <v>3207919</v>
      </c>
      <c r="S60" s="210" t="s">
        <v>501</v>
      </c>
      <c r="T60" s="211" t="s">
        <v>49</v>
      </c>
      <c r="U60" s="212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5">
        <f t="shared" si="0"/>
        <v>55</v>
      </c>
      <c r="L61" s="213" t="str">
        <f t="shared" si="1"/>
        <v xml:space="preserve">1861SVEUČILIŠTE U ZAGREBU - ARHITEKTONSKI FAKULTET </v>
      </c>
      <c r="M61" s="213">
        <v>1861</v>
      </c>
      <c r="N61" s="216" t="s">
        <v>502</v>
      </c>
      <c r="O61" s="217" t="s">
        <v>491</v>
      </c>
      <c r="P61" s="216" t="s">
        <v>503</v>
      </c>
      <c r="Q61" s="216" t="s">
        <v>369</v>
      </c>
      <c r="R61" s="214">
        <v>3204952</v>
      </c>
      <c r="S61" s="210" t="s">
        <v>504</v>
      </c>
      <c r="T61" s="211" t="s">
        <v>49</v>
      </c>
      <c r="U61" s="212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5">
        <f t="shared" si="0"/>
        <v>56</v>
      </c>
      <c r="L62" s="213" t="str">
        <f t="shared" si="1"/>
        <v xml:space="preserve">1966SVEUČILIŠTE U ZAGREBU - EDUKACIJSKO-REHABILITACIJSKI FAKULTET </v>
      </c>
      <c r="M62" s="213">
        <v>1966</v>
      </c>
      <c r="N62" s="216" t="s">
        <v>505</v>
      </c>
      <c r="O62" s="217" t="s">
        <v>491</v>
      </c>
      <c r="P62" s="216" t="s">
        <v>506</v>
      </c>
      <c r="Q62" s="216" t="s">
        <v>369</v>
      </c>
      <c r="R62" s="214">
        <v>3219780</v>
      </c>
      <c r="S62" s="210" t="s">
        <v>507</v>
      </c>
      <c r="T62" s="211" t="s">
        <v>49</v>
      </c>
      <c r="U62" s="212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5">
        <f t="shared" si="0"/>
        <v>57</v>
      </c>
      <c r="L63" s="213" t="str">
        <f t="shared" si="1"/>
        <v>1931SVEUČILIŠTE U ZAGREBU - EKONOMSKI FAKULTET</v>
      </c>
      <c r="M63" s="213">
        <v>1931</v>
      </c>
      <c r="N63" s="216" t="s">
        <v>508</v>
      </c>
      <c r="O63" s="217" t="s">
        <v>491</v>
      </c>
      <c r="P63" s="216" t="s">
        <v>1916</v>
      </c>
      <c r="Q63" s="216" t="s">
        <v>369</v>
      </c>
      <c r="R63" s="214">
        <v>3272079</v>
      </c>
      <c r="S63" s="210" t="s">
        <v>509</v>
      </c>
      <c r="T63" s="211" t="s">
        <v>49</v>
      </c>
      <c r="U63" s="212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5">
        <f t="shared" si="0"/>
        <v>58</v>
      </c>
      <c r="L64" s="213" t="str">
        <f t="shared" si="1"/>
        <v>1757SVEUČILIŠTE U ZAGREBU - FAKULTET ELEKTROTEHNIKE I RAČUNARSTVA</v>
      </c>
      <c r="M64" s="213">
        <v>1757</v>
      </c>
      <c r="N64" s="218" t="s">
        <v>510</v>
      </c>
      <c r="O64" s="217" t="s">
        <v>491</v>
      </c>
      <c r="P64" s="218" t="s">
        <v>511</v>
      </c>
      <c r="Q64" s="218" t="s">
        <v>369</v>
      </c>
      <c r="R64" s="219">
        <v>3276643</v>
      </c>
      <c r="S64" s="210" t="s">
        <v>512</v>
      </c>
      <c r="T64" s="211" t="s">
        <v>49</v>
      </c>
      <c r="U64" s="212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5">
        <f t="shared" si="0"/>
        <v>59</v>
      </c>
      <c r="L65" s="213" t="str">
        <f t="shared" si="1"/>
        <v>6154SVEUČILIŠTE U ZAGREBU - FAKULTET FILOZOFIJE I RELIGIJSKIH ZNANOSTI</v>
      </c>
      <c r="M65" s="213">
        <v>6154</v>
      </c>
      <c r="N65" s="216" t="s">
        <v>1917</v>
      </c>
      <c r="O65" s="217" t="s">
        <v>491</v>
      </c>
      <c r="P65" s="216" t="s">
        <v>513</v>
      </c>
      <c r="Q65" s="216" t="s">
        <v>369</v>
      </c>
      <c r="R65" s="214">
        <v>1235664</v>
      </c>
      <c r="S65" s="210" t="s">
        <v>514</v>
      </c>
      <c r="T65" s="211" t="s">
        <v>49</v>
      </c>
      <c r="U65" s="212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5">
        <f t="shared" si="0"/>
        <v>60</v>
      </c>
      <c r="L66" s="213" t="str">
        <f t="shared" si="1"/>
        <v>51191SVEUČILIŠTE U ZAGREBU - FAKULTET HRVATSKIH STUDIJA</v>
      </c>
      <c r="M66" s="213">
        <v>51191</v>
      </c>
      <c r="N66" s="216" t="s">
        <v>1918</v>
      </c>
      <c r="O66" s="217" t="s">
        <v>491</v>
      </c>
      <c r="P66" s="216" t="s">
        <v>1919</v>
      </c>
      <c r="Q66" s="216" t="s">
        <v>369</v>
      </c>
      <c r="R66" s="214">
        <v>5214068</v>
      </c>
      <c r="S66" s="210" t="s">
        <v>1920</v>
      </c>
      <c r="T66" s="211" t="s">
        <v>49</v>
      </c>
      <c r="U66" s="212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5">
        <f t="shared" si="0"/>
        <v>61</v>
      </c>
      <c r="L67" s="213" t="str">
        <f t="shared" si="1"/>
        <v>1790SVEUČILIŠTE U ZAGREBU - FAKULTET KEMIJSKOG INŽENJERSTVA I TEHNOLOGIJE</v>
      </c>
      <c r="M67" s="213">
        <v>1790</v>
      </c>
      <c r="N67" s="216" t="s">
        <v>517</v>
      </c>
      <c r="O67" s="217" t="s">
        <v>491</v>
      </c>
      <c r="P67" s="216" t="s">
        <v>518</v>
      </c>
      <c r="Q67" s="216" t="s">
        <v>369</v>
      </c>
      <c r="R67" s="214">
        <v>3250270</v>
      </c>
      <c r="S67" s="210" t="s">
        <v>519</v>
      </c>
      <c r="T67" s="211" t="s">
        <v>49</v>
      </c>
      <c r="U67" s="212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5">
        <f t="shared" si="0"/>
        <v>62</v>
      </c>
      <c r="L68" s="213" t="str">
        <f t="shared" si="1"/>
        <v>1907SVEUČILIŠTE U ZAGREBU - FAKULTET POLITIČKIH ZNANOSTI</v>
      </c>
      <c r="M68" s="213">
        <v>1907</v>
      </c>
      <c r="N68" s="216" t="s">
        <v>520</v>
      </c>
      <c r="O68" s="217" t="s">
        <v>491</v>
      </c>
      <c r="P68" s="216" t="s">
        <v>521</v>
      </c>
      <c r="Q68" s="216" t="s">
        <v>369</v>
      </c>
      <c r="R68" s="214">
        <v>3270262</v>
      </c>
      <c r="S68" s="210" t="s">
        <v>522</v>
      </c>
      <c r="T68" s="211" t="s">
        <v>49</v>
      </c>
      <c r="U68" s="212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5">
        <f t="shared" si="0"/>
        <v>63</v>
      </c>
      <c r="L69" s="213" t="str">
        <f t="shared" si="1"/>
        <v>1812SVEUČILIŠTE U ZAGREBU - FAKULTET PROMETNIH ZNANOSTI</v>
      </c>
      <c r="M69" s="213">
        <v>1812</v>
      </c>
      <c r="N69" s="216" t="s">
        <v>523</v>
      </c>
      <c r="O69" s="217" t="s">
        <v>491</v>
      </c>
      <c r="P69" s="216" t="s">
        <v>524</v>
      </c>
      <c r="Q69" s="216" t="s">
        <v>369</v>
      </c>
      <c r="R69" s="214">
        <v>3260771</v>
      </c>
      <c r="S69" s="210" t="s">
        <v>525</v>
      </c>
      <c r="T69" s="211" t="s">
        <v>49</v>
      </c>
      <c r="U69" s="212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5">
        <f t="shared" si="0"/>
        <v>64</v>
      </c>
      <c r="L70" s="213" t="str">
        <f t="shared" si="1"/>
        <v>1829SVEUČILIŠTE U ZAGREBU - FAKULTET STROJARSTVA I BRODOGRADNJE</v>
      </c>
      <c r="M70" s="213">
        <v>1829</v>
      </c>
      <c r="N70" s="216" t="s">
        <v>526</v>
      </c>
      <c r="O70" s="217" t="s">
        <v>491</v>
      </c>
      <c r="P70" s="216" t="s">
        <v>527</v>
      </c>
      <c r="Q70" s="216" t="s">
        <v>369</v>
      </c>
      <c r="R70" s="214">
        <v>3276546</v>
      </c>
      <c r="S70" s="210" t="s">
        <v>528</v>
      </c>
      <c r="T70" s="211" t="s">
        <v>49</v>
      </c>
      <c r="U70" s="212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5">
        <f t="shared" ref="K71:K133" si="2">+K70+1</f>
        <v>65</v>
      </c>
      <c r="L71" s="213" t="str">
        <f t="shared" si="1"/>
        <v xml:space="preserve">2014SVEUČILIŠTE U ZAGREBU - FARMACEUTSKO-BIOKEMIJSKI FAKULTET </v>
      </c>
      <c r="M71" s="213">
        <v>2014</v>
      </c>
      <c r="N71" s="216" t="s">
        <v>529</v>
      </c>
      <c r="O71" s="217" t="s">
        <v>491</v>
      </c>
      <c r="P71" s="216" t="s">
        <v>530</v>
      </c>
      <c r="Q71" s="216" t="s">
        <v>369</v>
      </c>
      <c r="R71" s="214">
        <v>3205037</v>
      </c>
      <c r="S71" s="210" t="s">
        <v>531</v>
      </c>
      <c r="T71" s="211" t="s">
        <v>49</v>
      </c>
      <c r="U71" s="212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5">
        <f t="shared" si="2"/>
        <v>66</v>
      </c>
      <c r="L72" s="213" t="str">
        <f t="shared" ref="L72:L135" si="3">M72&amp;""&amp;N72</f>
        <v>1958SVEUČILIŠTE U ZAGREBU - FILOZOFSKI FAKULTET</v>
      </c>
      <c r="M72" s="213">
        <v>1958</v>
      </c>
      <c r="N72" s="216" t="s">
        <v>532</v>
      </c>
      <c r="O72" s="217" t="s">
        <v>491</v>
      </c>
      <c r="P72" s="216" t="s">
        <v>533</v>
      </c>
      <c r="Q72" s="216" t="s">
        <v>369</v>
      </c>
      <c r="R72" s="214">
        <v>3254852</v>
      </c>
      <c r="S72" s="210" t="s">
        <v>534</v>
      </c>
      <c r="T72" s="211" t="s">
        <v>49</v>
      </c>
      <c r="U72" s="212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5">
        <f t="shared" si="2"/>
        <v>67</v>
      </c>
      <c r="L73" s="213" t="str">
        <f t="shared" si="3"/>
        <v>1853SVEUČILIŠTE U ZAGREBU - GEODETSKI FAKULTET</v>
      </c>
      <c r="M73" s="213">
        <v>1853</v>
      </c>
      <c r="N73" s="216" t="s">
        <v>535</v>
      </c>
      <c r="O73" s="217" t="s">
        <v>491</v>
      </c>
      <c r="P73" s="216" t="s">
        <v>1921</v>
      </c>
      <c r="Q73" s="216" t="s">
        <v>369</v>
      </c>
      <c r="R73" s="214">
        <v>3204987</v>
      </c>
      <c r="S73" s="210" t="s">
        <v>536</v>
      </c>
      <c r="T73" s="211" t="s">
        <v>49</v>
      </c>
      <c r="U73" s="212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5">
        <f t="shared" si="2"/>
        <v>68</v>
      </c>
      <c r="L74" s="213" t="str">
        <f t="shared" si="3"/>
        <v>2102SVEUČILIŠTE U ZAGREBU - GEOTEHNIČKI FAKULTET</v>
      </c>
      <c r="M74" s="213">
        <v>2102</v>
      </c>
      <c r="N74" s="216" t="s">
        <v>537</v>
      </c>
      <c r="O74" s="217" t="s">
        <v>491</v>
      </c>
      <c r="P74" s="216" t="s">
        <v>538</v>
      </c>
      <c r="Q74" s="216" t="s">
        <v>539</v>
      </c>
      <c r="R74" s="214">
        <v>3042316</v>
      </c>
      <c r="S74" s="210" t="s">
        <v>540</v>
      </c>
      <c r="T74" s="211" t="s">
        <v>49</v>
      </c>
      <c r="U74" s="212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5">
        <f t="shared" si="2"/>
        <v>69</v>
      </c>
      <c r="L75" s="213" t="str">
        <f t="shared" si="3"/>
        <v>1837SVEUČILIŠTE U ZAGREBU - GRAĐEVINSKI FAKULTET</v>
      </c>
      <c r="M75" s="213">
        <v>1837</v>
      </c>
      <c r="N75" s="216" t="s">
        <v>541</v>
      </c>
      <c r="O75" s="217" t="s">
        <v>491</v>
      </c>
      <c r="P75" s="216" t="s">
        <v>542</v>
      </c>
      <c r="Q75" s="216" t="s">
        <v>369</v>
      </c>
      <c r="R75" s="214">
        <v>3227120</v>
      </c>
      <c r="S75" s="210" t="s">
        <v>543</v>
      </c>
      <c r="T75" s="211" t="s">
        <v>49</v>
      </c>
      <c r="U75" s="212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5">
        <f t="shared" si="2"/>
        <v>70</v>
      </c>
      <c r="L76" s="213" t="str">
        <f t="shared" si="3"/>
        <v>2080SVEUČILIŠTE U ZAGREBU - GRAFIČKI FAKULTET</v>
      </c>
      <c r="M76" s="213">
        <v>2080</v>
      </c>
      <c r="N76" s="216" t="s">
        <v>544</v>
      </c>
      <c r="O76" s="217" t="s">
        <v>491</v>
      </c>
      <c r="P76" s="216" t="s">
        <v>545</v>
      </c>
      <c r="Q76" s="216" t="s">
        <v>369</v>
      </c>
      <c r="R76" s="214">
        <v>3219763</v>
      </c>
      <c r="S76" s="210" t="s">
        <v>546</v>
      </c>
      <c r="T76" s="211" t="s">
        <v>49</v>
      </c>
      <c r="U76" s="212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5">
        <f t="shared" si="2"/>
        <v>71</v>
      </c>
      <c r="L77" s="213" t="str">
        <f t="shared" si="3"/>
        <v xml:space="preserve">2135SVEUČILIŠTE U ZAGREBU - KATOLIČKI BOGOSLOVNI FAKULTET </v>
      </c>
      <c r="M77" s="213">
        <v>2135</v>
      </c>
      <c r="N77" s="216" t="s">
        <v>515</v>
      </c>
      <c r="O77" s="217" t="s">
        <v>491</v>
      </c>
      <c r="P77" s="216" t="s">
        <v>516</v>
      </c>
      <c r="Q77" s="216" t="s">
        <v>369</v>
      </c>
      <c r="R77" s="214">
        <v>3703088</v>
      </c>
      <c r="S77" s="210">
        <v>48987767944</v>
      </c>
      <c r="T77" s="211" t="s">
        <v>49</v>
      </c>
      <c r="U77" s="212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5">
        <f t="shared" si="2"/>
        <v>72</v>
      </c>
      <c r="L78" s="213" t="str">
        <f t="shared" si="3"/>
        <v>2006SVEUČILIŠTE U ZAGREBU - KINEZIOLOŠKI FAKULTET</v>
      </c>
      <c r="M78" s="213">
        <v>2006</v>
      </c>
      <c r="N78" s="216" t="s">
        <v>547</v>
      </c>
      <c r="O78" s="217" t="s">
        <v>491</v>
      </c>
      <c r="P78" s="216" t="s">
        <v>548</v>
      </c>
      <c r="Q78" s="216" t="s">
        <v>369</v>
      </c>
      <c r="R78" s="214">
        <v>3274080</v>
      </c>
      <c r="S78" s="210" t="s">
        <v>549</v>
      </c>
      <c r="T78" s="211" t="s">
        <v>49</v>
      </c>
      <c r="U78" s="212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5">
        <f t="shared" si="2"/>
        <v>73</v>
      </c>
      <c r="L79" s="213" t="str">
        <f t="shared" si="3"/>
        <v>1888SVEUČILIŠTE U ZAGREBU - MEDICINSKI FAKULTET</v>
      </c>
      <c r="M79" s="213">
        <v>1888</v>
      </c>
      <c r="N79" s="216" t="s">
        <v>550</v>
      </c>
      <c r="O79" s="217" t="s">
        <v>491</v>
      </c>
      <c r="P79" s="216" t="s">
        <v>551</v>
      </c>
      <c r="Q79" s="216" t="s">
        <v>369</v>
      </c>
      <c r="R79" s="214">
        <v>3270211</v>
      </c>
      <c r="S79" s="210" t="s">
        <v>552</v>
      </c>
      <c r="T79" s="211" t="s">
        <v>49</v>
      </c>
      <c r="U79" s="212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5">
        <f t="shared" si="2"/>
        <v>74</v>
      </c>
      <c r="L80" s="213" t="str">
        <f t="shared" si="3"/>
        <v>2071SVEUČILIŠTE U ZAGREBU - METALURŠKI FAKULTET SISAK</v>
      </c>
      <c r="M80" s="213">
        <v>2071</v>
      </c>
      <c r="N80" s="216" t="s">
        <v>553</v>
      </c>
      <c r="O80" s="217" t="s">
        <v>491</v>
      </c>
      <c r="P80" s="216" t="s">
        <v>554</v>
      </c>
      <c r="Q80" s="216" t="s">
        <v>1922</v>
      </c>
      <c r="R80" s="214">
        <v>3313786</v>
      </c>
      <c r="S80" s="210" t="s">
        <v>555</v>
      </c>
      <c r="T80" s="211" t="s">
        <v>49</v>
      </c>
      <c r="U80" s="212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5">
        <f t="shared" si="2"/>
        <v>75</v>
      </c>
      <c r="L81" s="213" t="str">
        <f t="shared" si="3"/>
        <v>1999SVEUČILIŠTE U ZAGREBU - MUZIČKA AKADEMIJA</v>
      </c>
      <c r="M81" s="213">
        <v>1999</v>
      </c>
      <c r="N81" s="216" t="s">
        <v>556</v>
      </c>
      <c r="O81" s="217" t="s">
        <v>491</v>
      </c>
      <c r="P81" s="216" t="s">
        <v>1923</v>
      </c>
      <c r="Q81" s="216" t="s">
        <v>369</v>
      </c>
      <c r="R81" s="214">
        <v>3205002</v>
      </c>
      <c r="S81" s="210" t="s">
        <v>557</v>
      </c>
      <c r="T81" s="211" t="s">
        <v>49</v>
      </c>
      <c r="U81" s="212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5">
        <f t="shared" si="2"/>
        <v>76</v>
      </c>
      <c r="L82" s="213" t="str">
        <f t="shared" si="3"/>
        <v>1915SVEUČILIŠTE U ZAGREBU - PRAVNI FAKULTET</v>
      </c>
      <c r="M82" s="221">
        <v>1915</v>
      </c>
      <c r="N82" s="216" t="s">
        <v>558</v>
      </c>
      <c r="O82" s="217" t="s">
        <v>491</v>
      </c>
      <c r="P82" s="216" t="s">
        <v>559</v>
      </c>
      <c r="Q82" s="216" t="s">
        <v>369</v>
      </c>
      <c r="R82" s="214">
        <v>3225909</v>
      </c>
      <c r="S82" s="210" t="s">
        <v>560</v>
      </c>
      <c r="T82" s="211" t="s">
        <v>49</v>
      </c>
      <c r="U82" s="212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5">
        <f t="shared" si="2"/>
        <v>77</v>
      </c>
      <c r="L83" s="213" t="str">
        <f t="shared" si="3"/>
        <v>1845SVEUČILIŠTE U ZAGREBU - PREHRAMBENO BIOTEHNOLOŠKI FAKULTET</v>
      </c>
      <c r="M83" s="213">
        <v>1845</v>
      </c>
      <c r="N83" s="216" t="s">
        <v>561</v>
      </c>
      <c r="O83" s="217" t="s">
        <v>491</v>
      </c>
      <c r="P83" s="216" t="s">
        <v>567</v>
      </c>
      <c r="Q83" s="216" t="s">
        <v>369</v>
      </c>
      <c r="R83" s="214">
        <v>3207102</v>
      </c>
      <c r="S83" s="210" t="s">
        <v>562</v>
      </c>
      <c r="T83" s="211" t="s">
        <v>49</v>
      </c>
      <c r="U83" s="212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5">
        <f t="shared" si="2"/>
        <v>78</v>
      </c>
      <c r="L84" s="213" t="str">
        <f t="shared" si="3"/>
        <v>1781SVEUČILIŠTE U ZAGREBU - PRIRODOSLOVNO-MATEMATIČKI FAKULTET</v>
      </c>
      <c r="M84" s="213">
        <v>1781</v>
      </c>
      <c r="N84" s="216" t="s">
        <v>563</v>
      </c>
      <c r="O84" s="217" t="s">
        <v>491</v>
      </c>
      <c r="P84" s="216" t="s">
        <v>564</v>
      </c>
      <c r="Q84" s="216" t="s">
        <v>369</v>
      </c>
      <c r="R84" s="214">
        <v>3270149</v>
      </c>
      <c r="S84" s="210" t="s">
        <v>565</v>
      </c>
      <c r="T84" s="211" t="s">
        <v>49</v>
      </c>
      <c r="U84" s="212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5">
        <f t="shared" si="2"/>
        <v>79</v>
      </c>
      <c r="L85" s="213" t="str">
        <f t="shared" si="3"/>
        <v>2047SVEUČILIŠTE U ZAGREBU - RUDARSKO-GEOLOŠKO-NAFTNI FAKULTET</v>
      </c>
      <c r="M85" s="213">
        <v>2047</v>
      </c>
      <c r="N85" s="216" t="s">
        <v>566</v>
      </c>
      <c r="O85" s="217" t="s">
        <v>491</v>
      </c>
      <c r="P85" s="222" t="s">
        <v>567</v>
      </c>
      <c r="Q85" s="222" t="s">
        <v>369</v>
      </c>
      <c r="R85" s="214">
        <v>3207005</v>
      </c>
      <c r="S85" s="210" t="s">
        <v>568</v>
      </c>
      <c r="T85" s="211" t="s">
        <v>49</v>
      </c>
      <c r="U85" s="212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5">
        <f t="shared" si="2"/>
        <v>80</v>
      </c>
      <c r="L86" s="213" t="str">
        <f t="shared" si="3"/>
        <v>1870SVEUČILIŠTE U ZAGREBU - STOMATOLOŠKI FAKULTET</v>
      </c>
      <c r="M86" s="213">
        <v>1870</v>
      </c>
      <c r="N86" s="216" t="s">
        <v>569</v>
      </c>
      <c r="O86" s="217" t="s">
        <v>491</v>
      </c>
      <c r="P86" s="216" t="s">
        <v>570</v>
      </c>
      <c r="Q86" s="216" t="s">
        <v>369</v>
      </c>
      <c r="R86" s="214">
        <v>3204995</v>
      </c>
      <c r="S86" s="210" t="s">
        <v>571</v>
      </c>
      <c r="T86" s="211" t="s">
        <v>49</v>
      </c>
      <c r="U86" s="212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5">
        <f t="shared" si="2"/>
        <v>81</v>
      </c>
      <c r="L87" s="213" t="str">
        <f t="shared" si="3"/>
        <v>1896SVEUČILIŠTE U ZAGREBU - FAKULTET ŠUMARSTVA I DRVNE TEHNOLOGIJE</v>
      </c>
      <c r="M87" s="213">
        <v>1896</v>
      </c>
      <c r="N87" s="216" t="s">
        <v>1969</v>
      </c>
      <c r="O87" s="217" t="s">
        <v>491</v>
      </c>
      <c r="P87" s="216" t="s">
        <v>494</v>
      </c>
      <c r="Q87" s="216" t="s">
        <v>369</v>
      </c>
      <c r="R87" s="214">
        <v>3281485</v>
      </c>
      <c r="S87" s="210" t="s">
        <v>572</v>
      </c>
      <c r="T87" s="211" t="s">
        <v>49</v>
      </c>
      <c r="U87" s="212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5">
        <f t="shared" si="2"/>
        <v>82</v>
      </c>
      <c r="L88" s="213" t="str">
        <f t="shared" si="3"/>
        <v>1804SVEUČILIŠTE U ZAGREBU - TEKSTILNO TEHNOLOŠKI FAKULTET</v>
      </c>
      <c r="M88" s="213">
        <v>1804</v>
      </c>
      <c r="N88" s="216" t="s">
        <v>573</v>
      </c>
      <c r="O88" s="217" t="s">
        <v>491</v>
      </c>
      <c r="P88" s="216" t="s">
        <v>574</v>
      </c>
      <c r="Q88" s="216" t="s">
        <v>369</v>
      </c>
      <c r="R88" s="214">
        <v>3207064</v>
      </c>
      <c r="S88" s="210" t="s">
        <v>575</v>
      </c>
      <c r="T88" s="211" t="s">
        <v>49</v>
      </c>
      <c r="U88" s="212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5">
        <f t="shared" si="2"/>
        <v>83</v>
      </c>
      <c r="L89" s="213" t="str">
        <f t="shared" si="3"/>
        <v>1940SVEUČILIŠTE U ZAGREBU - UČITELJSKI FAKULTET</v>
      </c>
      <c r="M89" s="213">
        <v>1940</v>
      </c>
      <c r="N89" s="216" t="s">
        <v>576</v>
      </c>
      <c r="O89" s="217" t="s">
        <v>491</v>
      </c>
      <c r="P89" s="216" t="s">
        <v>577</v>
      </c>
      <c r="Q89" s="216" t="s">
        <v>369</v>
      </c>
      <c r="R89" s="214">
        <v>1422545</v>
      </c>
      <c r="S89" s="210" t="s">
        <v>578</v>
      </c>
      <c r="T89" s="211" t="s">
        <v>49</v>
      </c>
      <c r="U89" s="212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5">
        <f t="shared" si="2"/>
        <v>84</v>
      </c>
      <c r="L90" s="213" t="str">
        <f t="shared" si="3"/>
        <v>2022SVEUČILIŠTE U ZAGREBU - VETERINARSKI FAKULTET</v>
      </c>
      <c r="M90" s="213">
        <v>2022</v>
      </c>
      <c r="N90" s="216" t="s">
        <v>579</v>
      </c>
      <c r="O90" s="217" t="s">
        <v>491</v>
      </c>
      <c r="P90" s="216" t="s">
        <v>580</v>
      </c>
      <c r="Q90" s="216" t="s">
        <v>369</v>
      </c>
      <c r="R90" s="214">
        <v>3225755</v>
      </c>
      <c r="S90" s="210" t="s">
        <v>581</v>
      </c>
      <c r="T90" s="211" t="s">
        <v>49</v>
      </c>
      <c r="U90" s="212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5">
        <f t="shared" si="2"/>
        <v>85</v>
      </c>
      <c r="L91" s="213" t="str">
        <f t="shared" si="3"/>
        <v>22427TEHNIČKO VELEUČILIŠTE U ZAGREBU</v>
      </c>
      <c r="M91" s="213">
        <v>22427</v>
      </c>
      <c r="N91" s="216" t="s">
        <v>590</v>
      </c>
      <c r="O91" s="217" t="s">
        <v>586</v>
      </c>
      <c r="P91" s="216" t="s">
        <v>591</v>
      </c>
      <c r="Q91" s="216" t="s">
        <v>369</v>
      </c>
      <c r="R91" s="214">
        <v>1398270</v>
      </c>
      <c r="S91" s="210" t="s">
        <v>592</v>
      </c>
      <c r="T91" s="211" t="s">
        <v>49</v>
      </c>
      <c r="U91" s="212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5">
        <f t="shared" si="2"/>
        <v>86</v>
      </c>
      <c r="L92" s="213" t="str">
        <f t="shared" si="3"/>
        <v>50848VELEUČILIŠTE HRVATSKO ZAGORJE KRAPINA</v>
      </c>
      <c r="M92" s="213">
        <v>50848</v>
      </c>
      <c r="N92" s="216" t="s">
        <v>1924</v>
      </c>
      <c r="O92" s="217" t="s">
        <v>586</v>
      </c>
      <c r="P92" s="216" t="s">
        <v>1925</v>
      </c>
      <c r="Q92" s="216" t="s">
        <v>1926</v>
      </c>
      <c r="R92" s="214">
        <v>2271354</v>
      </c>
      <c r="S92" s="210" t="s">
        <v>1927</v>
      </c>
      <c r="T92" s="211" t="s">
        <v>49</v>
      </c>
      <c r="U92" s="212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5">
        <f t="shared" si="2"/>
        <v>87</v>
      </c>
      <c r="L93" s="213" t="str">
        <f t="shared" si="3"/>
        <v>38446VELEUČILIŠTE LAVOSLAV RUŽIČKA U VUKOVARU</v>
      </c>
      <c r="M93" s="213">
        <v>38446</v>
      </c>
      <c r="N93" s="216" t="s">
        <v>593</v>
      </c>
      <c r="O93" s="217" t="s">
        <v>586</v>
      </c>
      <c r="P93" s="216" t="s">
        <v>594</v>
      </c>
      <c r="Q93" s="216" t="s">
        <v>595</v>
      </c>
      <c r="R93" s="214">
        <v>1970828</v>
      </c>
      <c r="S93" s="210" t="s">
        <v>596</v>
      </c>
      <c r="T93" s="211" t="s">
        <v>49</v>
      </c>
      <c r="U93" s="212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5">
        <f t="shared" si="2"/>
        <v>88</v>
      </c>
      <c r="L94" s="213" t="str">
        <f t="shared" si="3"/>
        <v>38438VELEUČILIŠTE MARKO MARULIĆ U KNINU</v>
      </c>
      <c r="M94" s="213">
        <v>38438</v>
      </c>
      <c r="N94" s="216" t="s">
        <v>597</v>
      </c>
      <c r="O94" s="217" t="s">
        <v>586</v>
      </c>
      <c r="P94" s="216" t="s">
        <v>598</v>
      </c>
      <c r="Q94" s="216" t="s">
        <v>599</v>
      </c>
      <c r="R94" s="214">
        <v>1963813</v>
      </c>
      <c r="S94" s="210" t="s">
        <v>600</v>
      </c>
      <c r="T94" s="211" t="s">
        <v>49</v>
      </c>
      <c r="U94" s="212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5">
        <f t="shared" si="2"/>
        <v>89</v>
      </c>
      <c r="L95" s="213" t="str">
        <f t="shared" si="3"/>
        <v>41185VELEUČILIŠTE NIKOLA TESLA U GOSPIĆU</v>
      </c>
      <c r="M95" s="213">
        <v>41185</v>
      </c>
      <c r="N95" s="216" t="s">
        <v>601</v>
      </c>
      <c r="O95" s="217" t="s">
        <v>586</v>
      </c>
      <c r="P95" s="216" t="s">
        <v>602</v>
      </c>
      <c r="Q95" s="216" t="s">
        <v>603</v>
      </c>
      <c r="R95" s="220">
        <v>2103133</v>
      </c>
      <c r="S95" s="210" t="s">
        <v>604</v>
      </c>
      <c r="T95" s="211" t="s">
        <v>49</v>
      </c>
      <c r="U95" s="212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5">
        <f t="shared" si="2"/>
        <v>90</v>
      </c>
      <c r="L96" s="213" t="str">
        <f t="shared" si="3"/>
        <v>21053VELEUČILIŠTE U KARLOVCU</v>
      </c>
      <c r="M96" s="213">
        <v>21053</v>
      </c>
      <c r="N96" s="216" t="s">
        <v>605</v>
      </c>
      <c r="O96" s="217" t="s">
        <v>586</v>
      </c>
      <c r="P96" s="216" t="s">
        <v>606</v>
      </c>
      <c r="Q96" s="216" t="s">
        <v>607</v>
      </c>
      <c r="R96" s="214">
        <v>1286030</v>
      </c>
      <c r="S96" s="210" t="s">
        <v>608</v>
      </c>
      <c r="T96" s="211" t="s">
        <v>49</v>
      </c>
      <c r="U96" s="212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5">
        <f t="shared" si="2"/>
        <v>91</v>
      </c>
      <c r="L97" s="213" t="str">
        <f t="shared" si="3"/>
        <v>22398VELEUČILIŠTE U POŽEGI</v>
      </c>
      <c r="M97" s="213">
        <v>22398</v>
      </c>
      <c r="N97" s="216" t="s">
        <v>609</v>
      </c>
      <c r="O97" s="217" t="s">
        <v>586</v>
      </c>
      <c r="P97" s="216" t="s">
        <v>610</v>
      </c>
      <c r="Q97" s="216" t="s">
        <v>611</v>
      </c>
      <c r="R97" s="214">
        <v>1395521</v>
      </c>
      <c r="S97" s="210" t="s">
        <v>612</v>
      </c>
      <c r="T97" s="211" t="s">
        <v>49</v>
      </c>
      <c r="U97" s="212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5">
        <f t="shared" si="2"/>
        <v>92</v>
      </c>
      <c r="L98" s="213" t="str">
        <f t="shared" si="3"/>
        <v>22494VELEUČILIŠTE U RIJECI</v>
      </c>
      <c r="M98" s="213">
        <v>22494</v>
      </c>
      <c r="N98" s="216" t="s">
        <v>613</v>
      </c>
      <c r="O98" s="217" t="s">
        <v>586</v>
      </c>
      <c r="P98" s="216" t="s">
        <v>614</v>
      </c>
      <c r="Q98" s="216" t="s">
        <v>414</v>
      </c>
      <c r="R98" s="214">
        <v>1387332</v>
      </c>
      <c r="S98" s="210" t="s">
        <v>615</v>
      </c>
      <c r="T98" s="211" t="s">
        <v>49</v>
      </c>
      <c r="U98" s="212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5">
        <f t="shared" si="2"/>
        <v>93</v>
      </c>
      <c r="L99" s="213" t="str">
        <f t="shared" si="3"/>
        <v>22824VELEUČILIŠTE U ŠIBENIKU</v>
      </c>
      <c r="M99" s="213">
        <v>22824</v>
      </c>
      <c r="N99" s="216" t="s">
        <v>616</v>
      </c>
      <c r="O99" s="217" t="s">
        <v>586</v>
      </c>
      <c r="P99" s="216" t="s">
        <v>617</v>
      </c>
      <c r="Q99" s="216" t="s">
        <v>618</v>
      </c>
      <c r="R99" s="214">
        <v>2100673</v>
      </c>
      <c r="S99" s="210" t="s">
        <v>619</v>
      </c>
      <c r="T99" s="211" t="s">
        <v>49</v>
      </c>
      <c r="U99" s="212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5">
        <f t="shared" si="2"/>
        <v>94</v>
      </c>
      <c r="L100" s="213" t="str">
        <f t="shared" si="3"/>
        <v>42993VELEUČILIŠTE U VIROVITICI</v>
      </c>
      <c r="M100" s="213">
        <v>42993</v>
      </c>
      <c r="N100" s="216" t="s">
        <v>1970</v>
      </c>
      <c r="O100" s="217" t="s">
        <v>586</v>
      </c>
      <c r="P100" s="216" t="s">
        <v>620</v>
      </c>
      <c r="Q100" s="216" t="s">
        <v>621</v>
      </c>
      <c r="R100" s="214">
        <v>2282208</v>
      </c>
      <c r="S100" s="210" t="s">
        <v>622</v>
      </c>
      <c r="T100" s="211" t="s">
        <v>49</v>
      </c>
      <c r="U100" s="212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5">
        <f t="shared" si="2"/>
        <v>95</v>
      </c>
      <c r="L101" s="213" t="str">
        <f t="shared" si="3"/>
        <v>22371VISOKO GOSPODARSKO UČILIŠTE U KRIŽEVCIMA</v>
      </c>
      <c r="M101" s="213">
        <v>22371</v>
      </c>
      <c r="N101" s="216" t="s">
        <v>623</v>
      </c>
      <c r="O101" s="217" t="s">
        <v>586</v>
      </c>
      <c r="P101" s="216" t="s">
        <v>624</v>
      </c>
      <c r="Q101" s="216" t="s">
        <v>625</v>
      </c>
      <c r="R101" s="214">
        <v>1411942</v>
      </c>
      <c r="S101" s="210" t="s">
        <v>626</v>
      </c>
      <c r="T101" s="211" t="s">
        <v>49</v>
      </c>
      <c r="U101" s="212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5">
        <f t="shared" si="2"/>
        <v>96</v>
      </c>
      <c r="L102" s="213" t="str">
        <f t="shared" si="3"/>
        <v>22832ZDRAVSTVENO VELEUČILIŠTE</v>
      </c>
      <c r="M102" s="213">
        <v>22832</v>
      </c>
      <c r="N102" s="216" t="s">
        <v>627</v>
      </c>
      <c r="O102" s="217" t="s">
        <v>586</v>
      </c>
      <c r="P102" s="216" t="s">
        <v>628</v>
      </c>
      <c r="Q102" s="216" t="s">
        <v>369</v>
      </c>
      <c r="R102" s="214">
        <v>1274597</v>
      </c>
      <c r="S102" s="210" t="s">
        <v>629</v>
      </c>
      <c r="T102" s="211" t="s">
        <v>49</v>
      </c>
      <c r="U102" s="212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5">
        <f t="shared" si="2"/>
        <v>97</v>
      </c>
      <c r="L103" s="213" t="str">
        <f t="shared" si="3"/>
        <v>2918EKONOMSKI INSTITUT ZAGREB</v>
      </c>
      <c r="M103" s="213">
        <v>2918</v>
      </c>
      <c r="N103" s="216" t="s">
        <v>631</v>
      </c>
      <c r="O103" s="217" t="s">
        <v>586</v>
      </c>
      <c r="P103" s="216" t="s">
        <v>632</v>
      </c>
      <c r="Q103" s="216" t="s">
        <v>369</v>
      </c>
      <c r="R103" s="214">
        <v>3219925</v>
      </c>
      <c r="S103" s="210" t="s">
        <v>633</v>
      </c>
      <c r="T103" s="211" t="s">
        <v>754</v>
      </c>
      <c r="U103" s="212" t="s">
        <v>630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5">
        <f t="shared" si="2"/>
        <v>98</v>
      </c>
      <c r="L104" s="213" t="str">
        <f t="shared" si="3"/>
        <v xml:space="preserve">22525HRVATSKI GEOLOŠKI INSTITUT </v>
      </c>
      <c r="M104" s="213">
        <v>22525</v>
      </c>
      <c r="N104" s="216" t="s">
        <v>661</v>
      </c>
      <c r="O104" s="217" t="s">
        <v>586</v>
      </c>
      <c r="P104" s="216" t="s">
        <v>662</v>
      </c>
      <c r="Q104" s="216" t="s">
        <v>369</v>
      </c>
      <c r="R104" s="214">
        <v>3219518</v>
      </c>
      <c r="S104" s="210" t="s">
        <v>663</v>
      </c>
      <c r="T104" s="211" t="s">
        <v>754</v>
      </c>
      <c r="U104" s="212" t="s">
        <v>630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5">
        <f t="shared" si="2"/>
        <v>99</v>
      </c>
      <c r="L105" s="213" t="str">
        <f t="shared" si="3"/>
        <v>2934HRVATSKI INSTITUT ZA POVIJEST</v>
      </c>
      <c r="M105" s="213">
        <v>2934</v>
      </c>
      <c r="N105" s="216" t="s">
        <v>634</v>
      </c>
      <c r="O105" s="217" t="s">
        <v>586</v>
      </c>
      <c r="P105" s="216" t="s">
        <v>635</v>
      </c>
      <c r="Q105" s="216" t="s">
        <v>369</v>
      </c>
      <c r="R105" s="214">
        <v>3207153</v>
      </c>
      <c r="S105" s="210" t="s">
        <v>636</v>
      </c>
      <c r="T105" s="211" t="s">
        <v>754</v>
      </c>
      <c r="U105" s="212" t="s">
        <v>630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5">
        <f t="shared" si="2"/>
        <v>100</v>
      </c>
      <c r="L106" s="213" t="str">
        <f t="shared" si="3"/>
        <v>2967HRVATSKI ŠUMARSKI INSTITUT</v>
      </c>
      <c r="M106" s="213">
        <v>2967</v>
      </c>
      <c r="N106" s="216" t="s">
        <v>696</v>
      </c>
      <c r="O106" s="217" t="s">
        <v>586</v>
      </c>
      <c r="P106" s="216" t="s">
        <v>697</v>
      </c>
      <c r="Q106" s="216" t="s">
        <v>698</v>
      </c>
      <c r="R106" s="214">
        <v>3115879</v>
      </c>
      <c r="S106" s="210" t="s">
        <v>699</v>
      </c>
      <c r="T106" s="211" t="s">
        <v>754</v>
      </c>
      <c r="U106" s="212" t="s">
        <v>630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5">
        <f t="shared" si="2"/>
        <v>101</v>
      </c>
      <c r="L107" s="213" t="str">
        <f t="shared" si="3"/>
        <v>2983HRVATSKI VETERINARSKI INSTITUT</v>
      </c>
      <c r="M107" s="213">
        <v>2983</v>
      </c>
      <c r="N107" s="216" t="s">
        <v>637</v>
      </c>
      <c r="O107" s="217" t="s">
        <v>586</v>
      </c>
      <c r="P107" s="216" t="s">
        <v>638</v>
      </c>
      <c r="Q107" s="216" t="s">
        <v>369</v>
      </c>
      <c r="R107" s="214">
        <v>3274098</v>
      </c>
      <c r="S107" s="210" t="s">
        <v>639</v>
      </c>
      <c r="T107" s="211" t="s">
        <v>754</v>
      </c>
      <c r="U107" s="212" t="s">
        <v>630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5">
        <f t="shared" si="2"/>
        <v>102</v>
      </c>
      <c r="L108" s="213" t="str">
        <f t="shared" si="3"/>
        <v>3105INSTITUT DRUŠTVENIH ZNANOSTI IVO PILAR</v>
      </c>
      <c r="M108" s="213">
        <v>3105</v>
      </c>
      <c r="N108" s="216" t="s">
        <v>640</v>
      </c>
      <c r="O108" s="217" t="s">
        <v>586</v>
      </c>
      <c r="P108" s="216" t="s">
        <v>641</v>
      </c>
      <c r="Q108" s="216" t="s">
        <v>369</v>
      </c>
      <c r="R108" s="214">
        <v>3793028</v>
      </c>
      <c r="S108" s="210" t="s">
        <v>642</v>
      </c>
      <c r="T108" s="211" t="s">
        <v>754</v>
      </c>
      <c r="U108" s="212" t="s">
        <v>630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5">
        <f t="shared" si="2"/>
        <v>103</v>
      </c>
      <c r="L109" s="213" t="str">
        <f t="shared" si="3"/>
        <v>3041INSTITUT RUĐER BOŠKOVIĆ</v>
      </c>
      <c r="M109" s="213">
        <v>3041</v>
      </c>
      <c r="N109" s="216" t="s">
        <v>643</v>
      </c>
      <c r="O109" s="217" t="s">
        <v>586</v>
      </c>
      <c r="P109" s="216" t="s">
        <v>644</v>
      </c>
      <c r="Q109" s="216" t="s">
        <v>369</v>
      </c>
      <c r="R109" s="214">
        <v>3270289</v>
      </c>
      <c r="S109" s="210" t="s">
        <v>645</v>
      </c>
      <c r="T109" s="211" t="s">
        <v>754</v>
      </c>
      <c r="U109" s="212" t="s">
        <v>630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5">
        <f t="shared" si="2"/>
        <v>104</v>
      </c>
      <c r="L110" s="213" t="str">
        <f t="shared" si="3"/>
        <v>3113INSTITUT ZA ANTROPOLOGIJU</v>
      </c>
      <c r="M110" s="213">
        <v>3113</v>
      </c>
      <c r="N110" s="216" t="s">
        <v>646</v>
      </c>
      <c r="O110" s="217" t="s">
        <v>586</v>
      </c>
      <c r="P110" s="216" t="s">
        <v>647</v>
      </c>
      <c r="Q110" s="216" t="s">
        <v>369</v>
      </c>
      <c r="R110" s="214">
        <v>3817121</v>
      </c>
      <c r="S110" s="210" t="s">
        <v>648</v>
      </c>
      <c r="T110" s="211" t="s">
        <v>754</v>
      </c>
      <c r="U110" s="212" t="s">
        <v>630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5">
        <f t="shared" si="2"/>
        <v>105</v>
      </c>
      <c r="L111" s="213" t="str">
        <f t="shared" si="3"/>
        <v>3121INSTITUT ZA ARHEOLOGIJU</v>
      </c>
      <c r="M111" s="213">
        <v>3121</v>
      </c>
      <c r="N111" s="216" t="s">
        <v>649</v>
      </c>
      <c r="O111" s="217" t="s">
        <v>586</v>
      </c>
      <c r="P111" s="216" t="s">
        <v>647</v>
      </c>
      <c r="Q111" s="216" t="s">
        <v>369</v>
      </c>
      <c r="R111" s="214">
        <v>3937658</v>
      </c>
      <c r="S111" s="210" t="s">
        <v>650</v>
      </c>
      <c r="T111" s="211" t="s">
        <v>754</v>
      </c>
      <c r="U111" s="212" t="s">
        <v>630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5">
        <f t="shared" si="2"/>
        <v>106</v>
      </c>
      <c r="L112" s="213" t="str">
        <f t="shared" si="3"/>
        <v>3050INSTITUT ZA DRUŠTVENA ISTRAŽIVANJA</v>
      </c>
      <c r="M112" s="213">
        <v>3050</v>
      </c>
      <c r="N112" s="216" t="s">
        <v>651</v>
      </c>
      <c r="O112" s="217" t="s">
        <v>586</v>
      </c>
      <c r="P112" s="216" t="s">
        <v>652</v>
      </c>
      <c r="Q112" s="216" t="s">
        <v>369</v>
      </c>
      <c r="R112" s="214">
        <v>3205118</v>
      </c>
      <c r="S112" s="210" t="s">
        <v>653</v>
      </c>
      <c r="T112" s="211" t="s">
        <v>754</v>
      </c>
      <c r="U112" s="212" t="s">
        <v>630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5">
        <f t="shared" si="2"/>
        <v>107</v>
      </c>
      <c r="L113" s="213" t="str">
        <f t="shared" si="3"/>
        <v>3084INSTITUT ZA ETNOLOGIJU I FOLKLORISTIKU</v>
      </c>
      <c r="M113" s="213">
        <v>3084</v>
      </c>
      <c r="N113" s="216" t="s">
        <v>654</v>
      </c>
      <c r="O113" s="217" t="s">
        <v>586</v>
      </c>
      <c r="P113" s="216" t="s">
        <v>655</v>
      </c>
      <c r="Q113" s="216" t="s">
        <v>369</v>
      </c>
      <c r="R113" s="214">
        <v>3724042</v>
      </c>
      <c r="S113" s="210" t="s">
        <v>656</v>
      </c>
      <c r="T113" s="211" t="s">
        <v>754</v>
      </c>
      <c r="U113" s="212" t="s">
        <v>630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5">
        <f t="shared" si="2"/>
        <v>108</v>
      </c>
      <c r="L114" s="213" t="str">
        <f t="shared" si="3"/>
        <v>3092INSTITUT ZA FILOZOFIJU</v>
      </c>
      <c r="M114" s="213">
        <v>3092</v>
      </c>
      <c r="N114" s="216" t="s">
        <v>657</v>
      </c>
      <c r="O114" s="217" t="s">
        <v>586</v>
      </c>
      <c r="P114" s="216" t="s">
        <v>1928</v>
      </c>
      <c r="Q114" s="216" t="s">
        <v>369</v>
      </c>
      <c r="R114" s="214">
        <v>3772047</v>
      </c>
      <c r="S114" s="210" t="s">
        <v>658</v>
      </c>
      <c r="T114" s="211" t="s">
        <v>754</v>
      </c>
      <c r="U114" s="212" t="s">
        <v>630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5">
        <f t="shared" si="2"/>
        <v>109</v>
      </c>
      <c r="L115" s="213" t="str">
        <f t="shared" si="3"/>
        <v>2975INSTITUT ZA FIZIKU</v>
      </c>
      <c r="M115" s="213">
        <v>2975</v>
      </c>
      <c r="N115" s="216" t="s">
        <v>659</v>
      </c>
      <c r="O115" s="217" t="s">
        <v>586</v>
      </c>
      <c r="P115" s="216" t="s">
        <v>644</v>
      </c>
      <c r="Q115" s="216" t="s">
        <v>369</v>
      </c>
      <c r="R115" s="214">
        <v>3270424</v>
      </c>
      <c r="S115" s="210" t="s">
        <v>660</v>
      </c>
      <c r="T115" s="211" t="s">
        <v>754</v>
      </c>
      <c r="U115" s="212" t="s">
        <v>630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5">
        <f t="shared" si="2"/>
        <v>110</v>
      </c>
      <c r="L116" s="213" t="str">
        <f t="shared" si="3"/>
        <v>21061INSTITUT ZA HRVATSKI JEZIK I JEZIKOSLOVLJE</v>
      </c>
      <c r="M116" s="213">
        <v>21061</v>
      </c>
      <c r="N116" s="216" t="s">
        <v>664</v>
      </c>
      <c r="O116" s="217" t="s">
        <v>586</v>
      </c>
      <c r="P116" s="216" t="s">
        <v>665</v>
      </c>
      <c r="Q116" s="216" t="s">
        <v>369</v>
      </c>
      <c r="R116" s="214">
        <v>1259571</v>
      </c>
      <c r="S116" s="210" t="s">
        <v>666</v>
      </c>
      <c r="T116" s="211" t="s">
        <v>754</v>
      </c>
      <c r="U116" s="212" t="s">
        <v>630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5">
        <f t="shared" si="2"/>
        <v>111</v>
      </c>
      <c r="L117" s="213" t="str">
        <f t="shared" si="3"/>
        <v>3025INSTITUT ZA JADRANSKE KULTURE I MELIORACIJU KRŠA</v>
      </c>
      <c r="M117" s="213">
        <v>3025</v>
      </c>
      <c r="N117" s="216" t="s">
        <v>667</v>
      </c>
      <c r="O117" s="217" t="s">
        <v>586</v>
      </c>
      <c r="P117" s="216" t="s">
        <v>668</v>
      </c>
      <c r="Q117" s="216" t="s">
        <v>454</v>
      </c>
      <c r="R117" s="214">
        <v>3140792</v>
      </c>
      <c r="S117" s="210" t="s">
        <v>669</v>
      </c>
      <c r="T117" s="211" t="s">
        <v>754</v>
      </c>
      <c r="U117" s="212" t="s">
        <v>630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5">
        <f t="shared" si="2"/>
        <v>112</v>
      </c>
      <c r="L118" s="213" t="str">
        <f t="shared" si="3"/>
        <v>23286INSTITUT ZA JAVNE FINANCIJE</v>
      </c>
      <c r="M118" s="213">
        <v>23286</v>
      </c>
      <c r="N118" s="216" t="s">
        <v>670</v>
      </c>
      <c r="O118" s="217" t="s">
        <v>586</v>
      </c>
      <c r="P118" s="216" t="s">
        <v>671</v>
      </c>
      <c r="Q118" s="216" t="s">
        <v>369</v>
      </c>
      <c r="R118" s="214">
        <v>3226344</v>
      </c>
      <c r="S118" s="210" t="s">
        <v>672</v>
      </c>
      <c r="T118" s="211" t="s">
        <v>754</v>
      </c>
      <c r="U118" s="212" t="s">
        <v>630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5">
        <f t="shared" si="2"/>
        <v>113</v>
      </c>
      <c r="L119" s="213" t="str">
        <f t="shared" si="3"/>
        <v>2959INSTITUT ZA MEDICINSKA ISTRAŽIVANJA I MEDICINU RADA</v>
      </c>
      <c r="M119" s="213">
        <v>2959</v>
      </c>
      <c r="N119" s="216" t="s">
        <v>673</v>
      </c>
      <c r="O119" s="217" t="s">
        <v>586</v>
      </c>
      <c r="P119" s="216" t="s">
        <v>674</v>
      </c>
      <c r="Q119" s="216" t="s">
        <v>369</v>
      </c>
      <c r="R119" s="214">
        <v>3270475</v>
      </c>
      <c r="S119" s="210" t="s">
        <v>675</v>
      </c>
      <c r="T119" s="211" t="s">
        <v>754</v>
      </c>
      <c r="U119" s="212" t="s">
        <v>630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5">
        <f t="shared" si="2"/>
        <v>114</v>
      </c>
      <c r="L120" s="213" t="str">
        <f t="shared" si="3"/>
        <v>3009INSTITUT ZA MIGRACIJE I NARODNOSTI</v>
      </c>
      <c r="M120" s="213">
        <v>3009</v>
      </c>
      <c r="N120" s="216" t="s">
        <v>678</v>
      </c>
      <c r="O120" s="217" t="s">
        <v>586</v>
      </c>
      <c r="P120" s="216" t="s">
        <v>679</v>
      </c>
      <c r="Q120" s="216" t="s">
        <v>369</v>
      </c>
      <c r="R120" s="214">
        <v>3287572</v>
      </c>
      <c r="S120" s="210" t="s">
        <v>680</v>
      </c>
      <c r="T120" s="211" t="s">
        <v>754</v>
      </c>
      <c r="U120" s="212" t="s">
        <v>630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5">
        <f t="shared" si="2"/>
        <v>115</v>
      </c>
      <c r="L121" s="213" t="str">
        <f t="shared" si="3"/>
        <v>2900INSTITUT ZA OCEANOGRAFIJU I RIBARSTVO</v>
      </c>
      <c r="M121" s="213">
        <v>2900</v>
      </c>
      <c r="N121" s="216" t="s">
        <v>681</v>
      </c>
      <c r="O121" s="217" t="s">
        <v>586</v>
      </c>
      <c r="P121" s="216" t="s">
        <v>1930</v>
      </c>
      <c r="Q121" s="216" t="s">
        <v>454</v>
      </c>
      <c r="R121" s="214">
        <v>3118355</v>
      </c>
      <c r="S121" s="210" t="s">
        <v>682</v>
      </c>
      <c r="T121" s="211" t="s">
        <v>754</v>
      </c>
      <c r="U121" s="212" t="s">
        <v>630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5">
        <f t="shared" si="2"/>
        <v>116</v>
      </c>
      <c r="L122" s="213" t="str">
        <f t="shared" si="3"/>
        <v>3076INSTITUT ZA POLJOPRIVREDU I TURIZAM</v>
      </c>
      <c r="M122" s="213">
        <v>3076</v>
      </c>
      <c r="N122" s="216" t="s">
        <v>683</v>
      </c>
      <c r="O122" s="217" t="s">
        <v>586</v>
      </c>
      <c r="P122" s="216" t="s">
        <v>684</v>
      </c>
      <c r="Q122" s="216" t="s">
        <v>685</v>
      </c>
      <c r="R122" s="214">
        <v>3421031</v>
      </c>
      <c r="S122" s="210" t="s">
        <v>686</v>
      </c>
      <c r="T122" s="211" t="s">
        <v>754</v>
      </c>
      <c r="U122" s="212" t="s">
        <v>630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5">
        <f t="shared" si="2"/>
        <v>117</v>
      </c>
      <c r="L123" s="213" t="str">
        <f t="shared" si="3"/>
        <v>2942INSTITUT ZA POVIJEST UMJETNOSTI</v>
      </c>
      <c r="M123" s="213">
        <v>2942</v>
      </c>
      <c r="N123" s="216" t="s">
        <v>687</v>
      </c>
      <c r="O123" s="217" t="s">
        <v>586</v>
      </c>
      <c r="P123" s="216" t="s">
        <v>688</v>
      </c>
      <c r="Q123" s="216" t="s">
        <v>369</v>
      </c>
      <c r="R123" s="214">
        <v>1339958</v>
      </c>
      <c r="S123" s="210" t="s">
        <v>689</v>
      </c>
      <c r="T123" s="211" t="s">
        <v>754</v>
      </c>
      <c r="U123" s="212" t="s">
        <v>630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5">
        <f t="shared" si="2"/>
        <v>118</v>
      </c>
      <c r="L124" s="213" t="str">
        <f t="shared" si="3"/>
        <v>22621INSTITUT ZA RAZVOJ I MEĐUNARODNE ODNOSE</v>
      </c>
      <c r="M124" s="213">
        <v>22621</v>
      </c>
      <c r="N124" s="216" t="s">
        <v>676</v>
      </c>
      <c r="O124" s="217" t="s">
        <v>586</v>
      </c>
      <c r="P124" s="216" t="s">
        <v>1929</v>
      </c>
      <c r="Q124" s="216" t="s">
        <v>369</v>
      </c>
      <c r="R124" s="214">
        <v>3205177</v>
      </c>
      <c r="S124" s="210" t="s">
        <v>677</v>
      </c>
      <c r="T124" s="211" t="s">
        <v>754</v>
      </c>
      <c r="U124" s="212" t="s">
        <v>630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5">
        <f t="shared" si="2"/>
        <v>119</v>
      </c>
      <c r="L125" s="213" t="str">
        <f t="shared" si="3"/>
        <v>3068INSTITUT ZA TURIZAM</v>
      </c>
      <c r="M125" s="213">
        <v>3068</v>
      </c>
      <c r="N125" s="216" t="s">
        <v>690</v>
      </c>
      <c r="O125" s="217" t="s">
        <v>586</v>
      </c>
      <c r="P125" s="216" t="s">
        <v>691</v>
      </c>
      <c r="Q125" s="216" t="s">
        <v>369</v>
      </c>
      <c r="R125" s="214">
        <v>3208001</v>
      </c>
      <c r="S125" s="210" t="s">
        <v>692</v>
      </c>
      <c r="T125" s="211" t="s">
        <v>754</v>
      </c>
      <c r="U125" s="212" t="s">
        <v>630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5">
        <f t="shared" si="2"/>
        <v>120</v>
      </c>
      <c r="L126" s="213" t="str">
        <f t="shared" si="3"/>
        <v>2991POLJOPRIVREDNI INSTITUT OSIJEK</v>
      </c>
      <c r="M126" s="213">
        <v>2991</v>
      </c>
      <c r="N126" s="216" t="s">
        <v>1931</v>
      </c>
      <c r="O126" s="217" t="s">
        <v>586</v>
      </c>
      <c r="P126" s="216" t="s">
        <v>1932</v>
      </c>
      <c r="Q126" s="216" t="s">
        <v>372</v>
      </c>
      <c r="R126" s="214">
        <v>3058239</v>
      </c>
      <c r="S126" s="210" t="s">
        <v>1933</v>
      </c>
      <c r="T126" s="211" t="s">
        <v>754</v>
      </c>
      <c r="U126" s="212" t="s">
        <v>630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5">
        <f t="shared" si="2"/>
        <v>121</v>
      </c>
      <c r="L127" s="213" t="str">
        <f t="shared" si="3"/>
        <v>21070STAROSLAVENSKI INSTITUT</v>
      </c>
      <c r="M127" s="213">
        <v>21070</v>
      </c>
      <c r="N127" s="216" t="s">
        <v>693</v>
      </c>
      <c r="O127" s="217" t="s">
        <v>586</v>
      </c>
      <c r="P127" s="216" t="s">
        <v>694</v>
      </c>
      <c r="Q127" s="216" t="s">
        <v>369</v>
      </c>
      <c r="R127" s="214">
        <v>1259563</v>
      </c>
      <c r="S127" s="210" t="s">
        <v>695</v>
      </c>
      <c r="T127" s="211" t="s">
        <v>754</v>
      </c>
      <c r="U127" s="212" t="s">
        <v>630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5">
        <f t="shared" si="2"/>
        <v>122</v>
      </c>
      <c r="L128" s="213" t="str">
        <f t="shared" si="3"/>
        <v>6179DRŽAVNI ZAVOD ZA INTELEKTUALNO VLASNIŠTVO</v>
      </c>
      <c r="M128" s="213">
        <v>6179</v>
      </c>
      <c r="N128" s="216" t="s">
        <v>701</v>
      </c>
      <c r="O128" s="217" t="s">
        <v>586</v>
      </c>
      <c r="P128" s="222" t="s">
        <v>702</v>
      </c>
      <c r="Q128" s="216" t="s">
        <v>369</v>
      </c>
      <c r="R128" s="214">
        <v>3899772</v>
      </c>
      <c r="S128" s="210" t="s">
        <v>703</v>
      </c>
      <c r="T128" s="211" t="s">
        <v>1934</v>
      </c>
      <c r="U128" s="212" t="s">
        <v>1086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5">
        <f t="shared" si="2"/>
        <v>123</v>
      </c>
      <c r="L129" s="213" t="str">
        <f t="shared" si="3"/>
        <v>43335AGENCIJA ZA MOBILNOST I PROGRAME EUROPSKE UNIJE</v>
      </c>
      <c r="M129" s="213">
        <v>43335</v>
      </c>
      <c r="N129" s="216" t="s">
        <v>722</v>
      </c>
      <c r="O129" s="217" t="s">
        <v>586</v>
      </c>
      <c r="P129" s="222" t="s">
        <v>711</v>
      </c>
      <c r="Q129" s="216" t="s">
        <v>369</v>
      </c>
      <c r="R129" s="214">
        <v>2298007</v>
      </c>
      <c r="S129" s="210" t="s">
        <v>723</v>
      </c>
      <c r="T129" s="211" t="s">
        <v>727</v>
      </c>
      <c r="U129" s="212" t="s">
        <v>700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5">
        <f t="shared" si="2"/>
        <v>124</v>
      </c>
      <c r="L130" s="213" t="str">
        <f t="shared" si="3"/>
        <v>23962AGENCIJA ZA ODGOJ I OBRAZOVANJE</v>
      </c>
      <c r="M130" s="213">
        <v>23962</v>
      </c>
      <c r="N130" s="216" t="s">
        <v>715</v>
      </c>
      <c r="O130" s="217" t="s">
        <v>586</v>
      </c>
      <c r="P130" s="222" t="s">
        <v>368</v>
      </c>
      <c r="Q130" s="216" t="s">
        <v>369</v>
      </c>
      <c r="R130" s="214">
        <v>1778129</v>
      </c>
      <c r="S130" s="210" t="s">
        <v>716</v>
      </c>
      <c r="T130" s="211" t="s">
        <v>727</v>
      </c>
      <c r="U130" s="212" t="s">
        <v>700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5">
        <f t="shared" si="2"/>
        <v>125</v>
      </c>
      <c r="L131" s="213" t="str">
        <f t="shared" si="3"/>
        <v>46173AGENCIJA ZA STRUKOVNO OBRAZOVANJE I OBRAZOVANJE ODRASLIH</v>
      </c>
      <c r="M131" s="213">
        <v>46173</v>
      </c>
      <c r="N131" s="216" t="s">
        <v>724</v>
      </c>
      <c r="O131" s="217" t="s">
        <v>586</v>
      </c>
      <c r="P131" s="222" t="s">
        <v>1971</v>
      </c>
      <c r="Q131" s="216" t="s">
        <v>369</v>
      </c>
      <c r="R131" s="214">
        <v>2650029</v>
      </c>
      <c r="S131" s="210" t="s">
        <v>725</v>
      </c>
      <c r="T131" s="211" t="s">
        <v>727</v>
      </c>
      <c r="U131" s="212" t="s">
        <v>700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5">
        <f t="shared" si="2"/>
        <v>126</v>
      </c>
      <c r="L132" s="213" t="str">
        <f t="shared" si="3"/>
        <v>38487AGENCIJA ZA ZNANOST I VISOKO OBRAZOVANJE</v>
      </c>
      <c r="M132" s="213">
        <v>38487</v>
      </c>
      <c r="N132" s="216" t="s">
        <v>717</v>
      </c>
      <c r="O132" s="217" t="s">
        <v>586</v>
      </c>
      <c r="P132" s="216" t="s">
        <v>718</v>
      </c>
      <c r="Q132" s="216" t="s">
        <v>369</v>
      </c>
      <c r="R132" s="214">
        <v>1922548</v>
      </c>
      <c r="S132" s="210" t="s">
        <v>719</v>
      </c>
      <c r="T132" s="211" t="s">
        <v>727</v>
      </c>
      <c r="U132" s="212" t="s">
        <v>700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5">
        <f t="shared" si="2"/>
        <v>127</v>
      </c>
      <c r="L133" s="213" t="str">
        <f t="shared" si="3"/>
        <v>21852HRVATSKA AKADEMSKA I ISTRAŽIVAČKA MREŽA - CARNET</v>
      </c>
      <c r="M133" s="213">
        <v>21852</v>
      </c>
      <c r="N133" s="216" t="s">
        <v>707</v>
      </c>
      <c r="O133" s="217" t="s">
        <v>586</v>
      </c>
      <c r="P133" s="222" t="s">
        <v>708</v>
      </c>
      <c r="Q133" s="216" t="s">
        <v>369</v>
      </c>
      <c r="R133" s="214">
        <v>1147820</v>
      </c>
      <c r="S133" s="210" t="s">
        <v>709</v>
      </c>
      <c r="T133" s="211" t="s">
        <v>727</v>
      </c>
      <c r="U133" s="212" t="s">
        <v>700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5">
        <f t="shared" ref="K134:K137" si="4">+K133+1</f>
        <v>128</v>
      </c>
      <c r="L134" s="213" t="str">
        <f t="shared" si="3"/>
        <v>21869LEKSIKOGRAFSKI ZAVOD MIROSLAV KRLEŽA</v>
      </c>
      <c r="M134" s="213">
        <v>21869</v>
      </c>
      <c r="N134" s="216" t="s">
        <v>710</v>
      </c>
      <c r="O134" s="217" t="s">
        <v>586</v>
      </c>
      <c r="P134" s="222" t="s">
        <v>711</v>
      </c>
      <c r="Q134" s="216" t="s">
        <v>369</v>
      </c>
      <c r="R134" s="214">
        <v>3211622</v>
      </c>
      <c r="S134" s="210" t="s">
        <v>712</v>
      </c>
      <c r="T134" s="211" t="s">
        <v>727</v>
      </c>
      <c r="U134" s="212" t="s">
        <v>700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5">
        <f t="shared" si="4"/>
        <v>129</v>
      </c>
      <c r="L135" s="213" t="str">
        <f t="shared" si="3"/>
        <v>21836NACIONALNA I SVEUČILIŠNA KNJIŽNICA U ZAGREBU</v>
      </c>
      <c r="M135" s="213">
        <v>21836</v>
      </c>
      <c r="N135" s="216" t="s">
        <v>704</v>
      </c>
      <c r="O135" s="217" t="s">
        <v>586</v>
      </c>
      <c r="P135" s="222" t="s">
        <v>705</v>
      </c>
      <c r="Q135" s="216" t="s">
        <v>369</v>
      </c>
      <c r="R135" s="214">
        <v>3205363</v>
      </c>
      <c r="S135" s="210" t="s">
        <v>706</v>
      </c>
      <c r="T135" s="211" t="s">
        <v>727</v>
      </c>
      <c r="U135" s="212" t="s">
        <v>700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5">
        <f t="shared" si="4"/>
        <v>130</v>
      </c>
      <c r="L136" s="213" t="str">
        <f t="shared" ref="L136:L137" si="5">M136&amp;""&amp;N136</f>
        <v>40883NACIONALNI CENTAR ZA VANJSKO VREDNOVANJE OBRAZOVANJA</v>
      </c>
      <c r="M136" s="213">
        <v>40883</v>
      </c>
      <c r="N136" s="216" t="s">
        <v>720</v>
      </c>
      <c r="O136" s="217" t="s">
        <v>586</v>
      </c>
      <c r="P136" s="222" t="s">
        <v>1972</v>
      </c>
      <c r="Q136" s="216" t="s">
        <v>1973</v>
      </c>
      <c r="R136" s="214">
        <v>1943430</v>
      </c>
      <c r="S136" s="210" t="s">
        <v>721</v>
      </c>
      <c r="T136" s="211" t="s">
        <v>727</v>
      </c>
      <c r="U136" s="212" t="s">
        <v>700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5">
        <f t="shared" si="4"/>
        <v>131</v>
      </c>
      <c r="L137" s="213" t="str">
        <f t="shared" si="5"/>
        <v>23665SVEUČILIŠTE U ZAGREBU - SVEUČILIŠNI RAČUNSKI CENTAR - SRCE</v>
      </c>
      <c r="M137" s="213">
        <v>23665</v>
      </c>
      <c r="N137" s="216" t="s">
        <v>713</v>
      </c>
      <c r="O137" s="217" t="s">
        <v>586</v>
      </c>
      <c r="P137" s="222" t="s">
        <v>708</v>
      </c>
      <c r="Q137" s="216" t="s">
        <v>369</v>
      </c>
      <c r="R137" s="214">
        <v>3283020</v>
      </c>
      <c r="S137" s="210" t="s">
        <v>714</v>
      </c>
      <c r="T137" s="211" t="s">
        <v>727</v>
      </c>
      <c r="U137" s="212" t="s">
        <v>700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1" bestFit="1" customWidth="1"/>
    <col min="4" max="5" width="23.7109375" style="232" customWidth="1"/>
    <col min="6" max="6" width="11.7109375" style="228" customWidth="1"/>
  </cols>
  <sheetData>
    <row r="1" spans="1:6" ht="20.25" thickBot="1">
      <c r="A1" s="225" t="s">
        <v>734</v>
      </c>
      <c r="B1" s="225" t="s">
        <v>200</v>
      </c>
      <c r="C1" s="226" t="s">
        <v>1943</v>
      </c>
      <c r="D1" s="225"/>
      <c r="E1" s="225"/>
      <c r="F1" s="227" t="s">
        <v>1944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749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750</v>
      </c>
    </row>
    <row r="4" spans="1:6">
      <c r="B4" s="6" t="s">
        <v>1350</v>
      </c>
      <c r="C4" s="6">
        <v>41</v>
      </c>
      <c r="D4" s="6" t="s">
        <v>1346</v>
      </c>
      <c r="E4" s="6">
        <v>614</v>
      </c>
      <c r="F4" s="6">
        <v>614810041</v>
      </c>
    </row>
    <row r="5" spans="1:6">
      <c r="B5" s="6" t="s">
        <v>1351</v>
      </c>
      <c r="C5" s="6">
        <v>41</v>
      </c>
      <c r="D5" s="6" t="s">
        <v>1346</v>
      </c>
      <c r="E5" s="6">
        <v>614</v>
      </c>
      <c r="F5" s="6">
        <v>614820041</v>
      </c>
    </row>
    <row r="6" spans="1:6">
      <c r="B6" s="6" t="s">
        <v>1352</v>
      </c>
      <c r="C6" s="6">
        <v>41</v>
      </c>
      <c r="D6" s="6" t="s">
        <v>1346</v>
      </c>
      <c r="E6" s="6">
        <v>614</v>
      </c>
      <c r="F6" s="6">
        <v>614830041</v>
      </c>
    </row>
    <row r="7" spans="1:6">
      <c r="B7" s="6" t="s">
        <v>1353</v>
      </c>
      <c r="C7" s="6">
        <v>41</v>
      </c>
      <c r="D7" s="6" t="s">
        <v>1346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1866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1866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1866</v>
      </c>
      <c r="E10" s="6">
        <v>631</v>
      </c>
      <c r="F10" s="6">
        <v>631210000</v>
      </c>
    </row>
    <row r="11" spans="1:6" s="235" customFormat="1">
      <c r="B11" s="6" t="s">
        <v>28</v>
      </c>
      <c r="C11" s="6">
        <v>52</v>
      </c>
      <c r="D11" s="6" t="s">
        <v>1866</v>
      </c>
      <c r="E11" s="6">
        <v>631</v>
      </c>
      <c r="F11" s="6">
        <v>631220000</v>
      </c>
    </row>
    <row r="12" spans="1:6" s="235" customFormat="1">
      <c r="B12" s="6" t="s">
        <v>1867</v>
      </c>
      <c r="C12" s="6">
        <v>52</v>
      </c>
      <c r="D12" s="6" t="s">
        <v>1866</v>
      </c>
      <c r="E12" s="6">
        <v>632</v>
      </c>
      <c r="F12" s="6">
        <v>632112000</v>
      </c>
    </row>
    <row r="13" spans="1:6" s="235" customFormat="1">
      <c r="B13" s="6" t="s">
        <v>1868</v>
      </c>
      <c r="C13" s="6">
        <v>52</v>
      </c>
      <c r="D13" s="6" t="s">
        <v>1866</v>
      </c>
      <c r="E13" s="6">
        <v>632</v>
      </c>
      <c r="F13" s="6">
        <v>632212000</v>
      </c>
    </row>
    <row r="14" spans="1:6" s="235" customFormat="1">
      <c r="B14" s="6" t="s">
        <v>1355</v>
      </c>
      <c r="C14" s="6">
        <v>552</v>
      </c>
      <c r="D14" s="6" t="s">
        <v>1347</v>
      </c>
      <c r="E14" s="6">
        <v>632</v>
      </c>
      <c r="F14" s="6">
        <v>632310552</v>
      </c>
    </row>
    <row r="15" spans="1:6" s="235" customFormat="1">
      <c r="B15" s="6" t="s">
        <v>1356</v>
      </c>
      <c r="C15" s="6">
        <v>559</v>
      </c>
      <c r="D15" s="6" t="s">
        <v>1348</v>
      </c>
      <c r="E15" s="6">
        <v>632</v>
      </c>
      <c r="F15" s="6">
        <v>632310559</v>
      </c>
    </row>
    <row r="16" spans="1:6" s="235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5" customFormat="1">
      <c r="B17" s="6" t="s">
        <v>1945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5" customFormat="1">
      <c r="B18" s="6" t="s">
        <v>1357</v>
      </c>
      <c r="C18" s="6">
        <v>573</v>
      </c>
      <c r="D18" s="6" t="s">
        <v>1358</v>
      </c>
      <c r="E18" s="6">
        <v>632</v>
      </c>
      <c r="F18" s="6">
        <v>632310573</v>
      </c>
    </row>
    <row r="19" spans="2:6" s="235" customFormat="1">
      <c r="B19" s="6" t="s">
        <v>1359</v>
      </c>
      <c r="C19" s="6">
        <v>575</v>
      </c>
      <c r="D19" s="6" t="s">
        <v>1360</v>
      </c>
      <c r="E19" s="6">
        <v>632</v>
      </c>
      <c r="F19" s="6">
        <v>632310575</v>
      </c>
    </row>
    <row r="20" spans="2:6" s="235" customFormat="1">
      <c r="B20" s="6" t="s">
        <v>1977</v>
      </c>
      <c r="C20" s="6">
        <v>576</v>
      </c>
      <c r="D20" s="6" t="s">
        <v>1898</v>
      </c>
      <c r="E20" s="6">
        <v>632</v>
      </c>
      <c r="F20" s="6">
        <v>632315761</v>
      </c>
    </row>
    <row r="21" spans="2:6" s="235" customFormat="1">
      <c r="B21" s="6" t="s">
        <v>1979</v>
      </c>
      <c r="C21" s="6">
        <v>581</v>
      </c>
      <c r="D21" s="6" t="s">
        <v>1976</v>
      </c>
      <c r="E21" s="6">
        <v>632</v>
      </c>
      <c r="F21" s="6">
        <v>632310581</v>
      </c>
    </row>
    <row r="22" spans="2:6" s="235" customFormat="1">
      <c r="B22" s="6" t="s">
        <v>23</v>
      </c>
      <c r="C22" s="6">
        <v>51</v>
      </c>
      <c r="D22" s="6" t="s">
        <v>1869</v>
      </c>
      <c r="E22" s="6">
        <v>632</v>
      </c>
      <c r="F22" s="6">
        <v>632311700</v>
      </c>
    </row>
    <row r="23" spans="2:6" s="235" customFormat="1">
      <c r="B23" s="6" t="s">
        <v>241</v>
      </c>
      <c r="C23" s="6">
        <v>51</v>
      </c>
      <c r="D23" s="6" t="s">
        <v>1869</v>
      </c>
      <c r="E23" s="6">
        <v>632</v>
      </c>
      <c r="F23" s="6">
        <v>632311800</v>
      </c>
    </row>
    <row r="24" spans="2:6" s="235" customFormat="1">
      <c r="B24" s="6" t="s">
        <v>1361</v>
      </c>
      <c r="C24" s="6">
        <v>552</v>
      </c>
      <c r="D24" s="6" t="s">
        <v>1347</v>
      </c>
      <c r="E24" s="6">
        <v>632</v>
      </c>
      <c r="F24" s="6">
        <v>632410552</v>
      </c>
    </row>
    <row r="25" spans="2:6" s="235" customFormat="1">
      <c r="B25" s="6" t="s">
        <v>1362</v>
      </c>
      <c r="C25" s="6">
        <v>559</v>
      </c>
      <c r="D25" s="6" t="s">
        <v>1348</v>
      </c>
      <c r="E25" s="6">
        <v>632</v>
      </c>
      <c r="F25" s="6">
        <v>632410559</v>
      </c>
    </row>
    <row r="26" spans="2:6" s="235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5" customFormat="1">
      <c r="B27" s="6" t="s">
        <v>1945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5" customFormat="1">
      <c r="B28" s="6" t="s">
        <v>1363</v>
      </c>
      <c r="C28" s="6">
        <v>573</v>
      </c>
      <c r="D28" s="6" t="s">
        <v>1358</v>
      </c>
      <c r="E28" s="6">
        <v>632</v>
      </c>
      <c r="F28" s="6">
        <v>632410573</v>
      </c>
    </row>
    <row r="29" spans="2:6" s="235" customFormat="1">
      <c r="B29" s="6" t="s">
        <v>1364</v>
      </c>
      <c r="C29" s="6">
        <v>575</v>
      </c>
      <c r="D29" s="6" t="s">
        <v>1360</v>
      </c>
      <c r="E29" s="6">
        <v>632</v>
      </c>
      <c r="F29" s="6">
        <v>632410575</v>
      </c>
    </row>
    <row r="30" spans="2:6">
      <c r="B30" s="6" t="s">
        <v>1978</v>
      </c>
      <c r="C30" s="6">
        <v>576</v>
      </c>
      <c r="D30" s="6" t="s">
        <v>1898</v>
      </c>
      <c r="E30" s="6">
        <v>632</v>
      </c>
      <c r="F30" s="6">
        <v>632415761</v>
      </c>
    </row>
    <row r="31" spans="2:6">
      <c r="B31" s="6" t="s">
        <v>1980</v>
      </c>
      <c r="C31" s="6">
        <v>581</v>
      </c>
      <c r="D31" s="6" t="s">
        <v>1976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1869</v>
      </c>
      <c r="E32" s="6">
        <v>632</v>
      </c>
      <c r="F32" s="6">
        <v>632411700</v>
      </c>
    </row>
    <row r="33" spans="2:6">
      <c r="B33" s="6" t="s">
        <v>1900</v>
      </c>
      <c r="C33" s="6">
        <v>52</v>
      </c>
      <c r="D33" s="6" t="s">
        <v>1866</v>
      </c>
      <c r="E33" s="6">
        <v>634</v>
      </c>
      <c r="F33" s="6">
        <v>6341</v>
      </c>
    </row>
    <row r="34" spans="2:6">
      <c r="B34" s="6" t="s">
        <v>1901</v>
      </c>
      <c r="C34" s="6">
        <v>52</v>
      </c>
      <c r="D34" s="6" t="s">
        <v>1866</v>
      </c>
      <c r="E34" s="6">
        <v>634</v>
      </c>
      <c r="F34" s="6">
        <v>6342</v>
      </c>
    </row>
    <row r="35" spans="2:6">
      <c r="B35" s="6" t="s">
        <v>1870</v>
      </c>
      <c r="C35" s="6">
        <v>52</v>
      </c>
      <c r="D35" s="6" t="s">
        <v>1866</v>
      </c>
      <c r="E35" s="6">
        <v>636</v>
      </c>
      <c r="F35" s="6">
        <v>6361</v>
      </c>
    </row>
    <row r="36" spans="2:6">
      <c r="B36" s="6" t="s">
        <v>1871</v>
      </c>
      <c r="C36" s="6">
        <v>52</v>
      </c>
      <c r="D36" s="6" t="s">
        <v>1866</v>
      </c>
      <c r="E36" s="6">
        <v>636</v>
      </c>
      <c r="F36" s="6">
        <v>6362</v>
      </c>
    </row>
    <row r="37" spans="2:6">
      <c r="B37" s="6" t="s">
        <v>1981</v>
      </c>
      <c r="C37" s="6">
        <v>52</v>
      </c>
      <c r="D37" s="6" t="s">
        <v>1866</v>
      </c>
      <c r="E37" s="6">
        <v>638</v>
      </c>
      <c r="F37" s="6">
        <v>6381</v>
      </c>
    </row>
    <row r="38" spans="2:6">
      <c r="B38" s="6" t="s">
        <v>1982</v>
      </c>
      <c r="C38" s="6">
        <v>52</v>
      </c>
      <c r="D38" s="6" t="s">
        <v>1866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1866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1866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1866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1866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1872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1873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1874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1354</v>
      </c>
      <c r="C51" s="6">
        <v>41</v>
      </c>
      <c r="D51" s="6" t="s">
        <v>1346</v>
      </c>
      <c r="E51" s="6">
        <v>641</v>
      </c>
      <c r="F51" s="6">
        <v>641770041</v>
      </c>
    </row>
    <row r="52" spans="2:6">
      <c r="B52" s="6" t="s">
        <v>1875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1876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1984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1877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1899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1878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1878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1878</v>
      </c>
      <c r="E65" s="6">
        <v>663</v>
      </c>
      <c r="F65" s="6">
        <v>663130000</v>
      </c>
    </row>
    <row r="66" spans="2:6">
      <c r="B66" s="6" t="s">
        <v>1879</v>
      </c>
      <c r="C66" s="6">
        <v>61</v>
      </c>
      <c r="D66" s="6" t="s">
        <v>1878</v>
      </c>
      <c r="E66" s="6">
        <v>663</v>
      </c>
      <c r="F66" s="6">
        <v>663140000</v>
      </c>
    </row>
    <row r="67" spans="2:6">
      <c r="B67" s="6" t="s">
        <v>1880</v>
      </c>
      <c r="C67" s="6">
        <v>61</v>
      </c>
      <c r="D67" s="6" t="s">
        <v>1878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1878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1878</v>
      </c>
      <c r="E69" s="6">
        <v>663</v>
      </c>
      <c r="F69" s="6">
        <v>663230000</v>
      </c>
    </row>
    <row r="70" spans="2:6">
      <c r="B70" s="6" t="s">
        <v>1881</v>
      </c>
      <c r="C70" s="6">
        <v>61</v>
      </c>
      <c r="D70" s="6" t="s">
        <v>1878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1882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1883</v>
      </c>
      <c r="C74" s="6">
        <v>71</v>
      </c>
      <c r="D74" s="6" t="s">
        <v>1884</v>
      </c>
      <c r="E74" s="6">
        <v>711</v>
      </c>
      <c r="F74" s="6">
        <v>711110071</v>
      </c>
    </row>
    <row r="75" spans="2:6">
      <c r="B75" s="6" t="s">
        <v>1885</v>
      </c>
      <c r="C75" s="6">
        <v>71</v>
      </c>
      <c r="D75" s="6" t="s">
        <v>1884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1884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1884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1884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1884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1884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1884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1884</v>
      </c>
      <c r="E82" s="6">
        <v>722</v>
      </c>
      <c r="F82" s="6">
        <v>722110071</v>
      </c>
    </row>
    <row r="83" spans="2:6">
      <c r="B83" s="6" t="s">
        <v>1886</v>
      </c>
      <c r="C83" s="6">
        <v>71</v>
      </c>
      <c r="D83" s="6" t="s">
        <v>1884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1884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1884</v>
      </c>
      <c r="E85" s="6">
        <v>722</v>
      </c>
      <c r="F85" s="6">
        <v>722620071</v>
      </c>
    </row>
    <row r="86" spans="2:6">
      <c r="B86" s="6" t="s">
        <v>1985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1884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1884</v>
      </c>
      <c r="E88" s="6">
        <v>723</v>
      </c>
      <c r="F88" s="6">
        <v>723110071</v>
      </c>
    </row>
    <row r="89" spans="2:6">
      <c r="B89" s="6" t="s">
        <v>1887</v>
      </c>
      <c r="C89" s="6">
        <v>71</v>
      </c>
      <c r="D89" s="6" t="s">
        <v>1884</v>
      </c>
      <c r="E89" s="6">
        <v>723</v>
      </c>
      <c r="F89" s="6">
        <v>723130071</v>
      </c>
    </row>
    <row r="90" spans="2:6">
      <c r="B90" s="6" t="s">
        <v>1888</v>
      </c>
      <c r="C90" s="6">
        <v>71</v>
      </c>
      <c r="D90" s="6" t="s">
        <v>1884</v>
      </c>
      <c r="E90" s="6">
        <v>723</v>
      </c>
      <c r="F90" s="6">
        <v>723140071</v>
      </c>
    </row>
    <row r="91" spans="2:6">
      <c r="B91" s="6" t="s">
        <v>1889</v>
      </c>
      <c r="C91" s="6">
        <v>71</v>
      </c>
      <c r="D91" s="6" t="s">
        <v>1884</v>
      </c>
      <c r="E91" s="6">
        <v>723</v>
      </c>
      <c r="F91" s="6">
        <v>723150071</v>
      </c>
    </row>
    <row r="92" spans="2:6">
      <c r="B92" s="6" t="s">
        <v>1890</v>
      </c>
      <c r="C92" s="6">
        <v>71</v>
      </c>
      <c r="D92" s="6" t="s">
        <v>1884</v>
      </c>
      <c r="E92" s="6">
        <v>723</v>
      </c>
      <c r="F92" s="6">
        <v>723160071</v>
      </c>
    </row>
    <row r="93" spans="2:6">
      <c r="B93" s="6" t="s">
        <v>1986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1891</v>
      </c>
      <c r="C94" s="6">
        <v>71</v>
      </c>
      <c r="D94" s="6" t="s">
        <v>1884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1884</v>
      </c>
      <c r="E95" s="6">
        <v>725</v>
      </c>
      <c r="F95" s="6">
        <v>725210071</v>
      </c>
    </row>
    <row r="96" spans="2:6">
      <c r="B96" s="6" t="s">
        <v>1987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1365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1366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1893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1983</v>
      </c>
      <c r="C100" s="6">
        <v>81</v>
      </c>
      <c r="D100" s="6" t="s">
        <v>1892</v>
      </c>
      <c r="E100" s="6">
        <v>841</v>
      </c>
      <c r="F100" s="6">
        <v>841320000</v>
      </c>
    </row>
    <row r="101" spans="1:6">
      <c r="B101" s="6" t="s">
        <v>1894</v>
      </c>
      <c r="C101" s="6">
        <v>81</v>
      </c>
      <c r="D101" s="6" t="s">
        <v>1892</v>
      </c>
      <c r="E101" s="6">
        <v>842</v>
      </c>
      <c r="F101" s="6">
        <v>842220081</v>
      </c>
    </row>
    <row r="102" spans="1:6">
      <c r="A102" s="228"/>
      <c r="B102" s="228"/>
      <c r="C102" s="229"/>
      <c r="D102" s="230"/>
      <c r="E102" s="230"/>
    </row>
    <row r="106" spans="1:6">
      <c r="A106" s="233"/>
      <c r="B106" s="233"/>
      <c r="C106" s="233"/>
      <c r="D106" s="233"/>
      <c r="E106" s="233"/>
      <c r="F106" s="233"/>
    </row>
    <row r="107" spans="1:6">
      <c r="A107" s="233"/>
      <c r="B107" s="233"/>
      <c r="C107" s="233"/>
      <c r="D107" s="233"/>
      <c r="E107" s="233"/>
      <c r="F107" s="233"/>
    </row>
    <row r="108" spans="1:6">
      <c r="A108" s="233"/>
      <c r="B108" s="233"/>
      <c r="C108" s="233"/>
      <c r="D108" s="233"/>
      <c r="E108" s="233"/>
      <c r="F108" s="233"/>
    </row>
    <row r="109" spans="1:6">
      <c r="A109" s="233"/>
      <c r="B109" s="233"/>
      <c r="C109" s="233"/>
      <c r="D109" s="233"/>
      <c r="E109" s="233"/>
      <c r="F109" s="233"/>
    </row>
    <row r="110" spans="1:6">
      <c r="A110" s="233"/>
      <c r="B110" s="233"/>
      <c r="C110" s="233"/>
      <c r="D110" s="233"/>
      <c r="E110" s="233"/>
      <c r="F110" s="233"/>
    </row>
    <row r="111" spans="1:6">
      <c r="A111" s="233"/>
      <c r="B111" s="233"/>
      <c r="C111" s="233"/>
      <c r="D111" s="233"/>
      <c r="E111" s="233"/>
      <c r="F111" s="233"/>
    </row>
    <row r="112" spans="1:6">
      <c r="A112" s="233"/>
      <c r="B112" s="233"/>
      <c r="C112" s="233"/>
      <c r="D112" s="233"/>
      <c r="E112" s="233"/>
      <c r="F112" s="233"/>
    </row>
    <row r="113" spans="1:6">
      <c r="A113" s="233"/>
      <c r="B113" s="233"/>
      <c r="C113" s="233"/>
      <c r="D113" s="233"/>
      <c r="E113" s="233"/>
      <c r="F113" s="233"/>
    </row>
    <row r="114" spans="1:6">
      <c r="A114" s="233"/>
      <c r="B114" s="233"/>
      <c r="C114" s="233"/>
      <c r="D114" s="233"/>
      <c r="E114" s="233"/>
      <c r="F114" s="233"/>
    </row>
    <row r="115" spans="1:6">
      <c r="A115" s="233"/>
      <c r="B115" s="233"/>
      <c r="C115" s="233"/>
      <c r="D115" s="233"/>
      <c r="E115" s="233"/>
      <c r="F115" s="233"/>
    </row>
    <row r="116" spans="1:6">
      <c r="A116" s="233"/>
      <c r="B116" s="233"/>
      <c r="C116" s="233"/>
      <c r="D116" s="233"/>
      <c r="E116" s="233"/>
      <c r="F116" s="233"/>
    </row>
    <row r="117" spans="1:6">
      <c r="A117" s="233"/>
      <c r="B117" s="233"/>
      <c r="C117" s="233"/>
      <c r="D117" s="233"/>
      <c r="E117" s="233"/>
      <c r="F117" s="233"/>
    </row>
    <row r="118" spans="1:6">
      <c r="A118" s="233"/>
      <c r="B118" s="233"/>
      <c r="C118" s="233"/>
      <c r="D118" s="233"/>
      <c r="E118" s="233"/>
      <c r="F118" s="23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2"/>
  <sheetViews>
    <sheetView showGridLines="0" zoomScale="84" zoomScaleNormal="84" workbookViewId="0">
      <pane ySplit="2" topLeftCell="A12" activePane="bottomLeft" state="frozen"/>
      <selection pane="bottomLeft" activeCell="G43" sqref="G4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32.5703125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1" t="s">
        <v>731</v>
      </c>
      <c r="B1" s="271"/>
      <c r="C1" s="271"/>
      <c r="D1" s="271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756</v>
      </c>
      <c r="F2" s="67" t="s">
        <v>757</v>
      </c>
      <c r="G2" s="189" t="s">
        <v>1988</v>
      </c>
      <c r="H2" s="189" t="s">
        <v>3492</v>
      </c>
      <c r="I2" s="189" t="s">
        <v>3485</v>
      </c>
      <c r="K2" s="142" t="s">
        <v>732</v>
      </c>
      <c r="L2" s="142" t="s">
        <v>733</v>
      </c>
      <c r="Q2" s="61" t="s">
        <v>749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 t="shared" ref="C3:C66" si="0">IFERROR(VLOOKUP(E3,$Q$6:$T$104,3,FALSE),"")</f>
        <v>11</v>
      </c>
      <c r="D3" s="136" t="str">
        <f t="shared" ref="D3:D66" si="1">IFERROR(VLOOKUP(E3,$Q$6:$T$104,4,FALSE),"")</f>
        <v>Opći prihodi i primici</v>
      </c>
      <c r="E3" s="148" t="s">
        <v>749</v>
      </c>
      <c r="F3" s="188" t="str">
        <f t="shared" ref="F3:F66" si="2">IFERROR(VLOOKUP(E3,$Q$6:$T$104,2,FALSE),"")</f>
        <v>Prihodi iz nadležnog proračuna za financiranje redovne djelatnosti proračunskih korisnika</v>
      </c>
      <c r="G3" s="182">
        <v>122237879</v>
      </c>
      <c r="H3" s="182">
        <v>128722874</v>
      </c>
      <c r="I3" s="182">
        <f t="shared" ref="I3:I37" si="3">+H3-G3</f>
        <v>6484995</v>
      </c>
      <c r="K3" s="139" t="str">
        <f>LEFT(E3,3)</f>
        <v>671</v>
      </c>
      <c r="L3" s="139" t="str">
        <f>LEFT(E3,2)</f>
        <v>67</v>
      </c>
      <c r="M3" t="s">
        <v>359</v>
      </c>
      <c r="Q3" s="61" t="s">
        <v>750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si="0"/>
        <v>11</v>
      </c>
      <c r="D4" s="136" t="str">
        <f t="shared" si="1"/>
        <v>Opći prihodi i primici</v>
      </c>
      <c r="E4" s="148" t="s">
        <v>749</v>
      </c>
      <c r="F4" s="188" t="str">
        <f t="shared" si="2"/>
        <v>Prihodi iz nadležnog proračuna za financiranje redovne djelatnosti proračunskih korisnika</v>
      </c>
      <c r="G4" s="182">
        <v>12415552</v>
      </c>
      <c r="H4" s="182">
        <v>12601785</v>
      </c>
      <c r="I4" s="182">
        <f t="shared" si="3"/>
        <v>186233</v>
      </c>
      <c r="K4" s="139" t="str">
        <f t="shared" ref="K4:K66" si="4">LEFT(E4,3)</f>
        <v>671</v>
      </c>
      <c r="L4" s="139" t="str">
        <f t="shared" ref="L4:L66" si="5">LEFT(E4,2)</f>
        <v>67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11</v>
      </c>
      <c r="D5" s="136" t="str">
        <f t="shared" si="1"/>
        <v>Opći prihodi i primici</v>
      </c>
      <c r="E5" s="148" t="s">
        <v>749</v>
      </c>
      <c r="F5" s="188" t="str">
        <f t="shared" si="2"/>
        <v>Prihodi iz nadležnog proračuna za financiranje redovne djelatnosti proračunskih korisnika</v>
      </c>
      <c r="G5" s="182">
        <v>491101.61557514308</v>
      </c>
      <c r="H5" s="182">
        <v>695713</v>
      </c>
      <c r="I5" s="182">
        <f t="shared" si="3"/>
        <v>204611.38442485692</v>
      </c>
      <c r="K5" s="139" t="str">
        <f t="shared" si="4"/>
        <v>671</v>
      </c>
      <c r="L5" s="139" t="str">
        <f t="shared" si="5"/>
        <v>67</v>
      </c>
      <c r="M5" s="139" t="s">
        <v>44</v>
      </c>
      <c r="N5" s="139" t="s">
        <v>45</v>
      </c>
      <c r="Q5" s="68" t="s">
        <v>734</v>
      </c>
      <c r="R5" s="67" t="s">
        <v>751</v>
      </c>
      <c r="S5" s="67" t="s">
        <v>752</v>
      </c>
      <c r="T5" s="67" t="s">
        <v>45</v>
      </c>
      <c r="U5" s="147" t="s">
        <v>753</v>
      </c>
    </row>
    <row r="6" spans="1:21">
      <c r="A6" s="137" t="str">
        <f>IF(E6="","",VLOOKUP('Opći dio'!$C$3,'Opći dio'!$L$6:$U$137,10,FALSE))</f>
        <v/>
      </c>
      <c r="B6" s="137" t="str">
        <f>IF(E6="","",VLOOKUP('Opći dio'!$C$3,'Opći dio'!$L$6:$U$137,9,FALSE))</f>
        <v/>
      </c>
      <c r="C6" s="184" t="str">
        <f t="shared" si="0"/>
        <v/>
      </c>
      <c r="D6" s="136" t="str">
        <f t="shared" si="1"/>
        <v/>
      </c>
      <c r="E6" s="148"/>
      <c r="F6" s="188" t="str">
        <f t="shared" si="2"/>
        <v/>
      </c>
      <c r="G6" s="182"/>
      <c r="H6" s="182"/>
      <c r="I6" s="182"/>
      <c r="K6" s="139" t="str">
        <f t="shared" si="4"/>
        <v/>
      </c>
      <c r="L6" s="139" t="str">
        <f t="shared" si="5"/>
        <v/>
      </c>
      <c r="M6" s="139">
        <v>11</v>
      </c>
      <c r="N6" s="139" t="s">
        <v>50</v>
      </c>
      <c r="Q6" s="6" t="s">
        <v>749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31</v>
      </c>
      <c r="D7" s="136" t="str">
        <f t="shared" si="1"/>
        <v>Vlastiti prihodi</v>
      </c>
      <c r="E7" s="148">
        <v>641320031</v>
      </c>
      <c r="F7" s="188" t="str">
        <f t="shared" si="2"/>
        <v>Kamate na depozite po viđenju izvor 31</v>
      </c>
      <c r="G7" s="182">
        <v>250000</v>
      </c>
      <c r="H7" s="182">
        <v>107000</v>
      </c>
      <c r="I7" s="182">
        <f t="shared" si="3"/>
        <v>-143000</v>
      </c>
      <c r="K7" s="139" t="str">
        <f t="shared" si="4"/>
        <v>641</v>
      </c>
      <c r="L7" s="139" t="str">
        <f t="shared" si="5"/>
        <v>64</v>
      </c>
      <c r="M7" s="139">
        <v>12</v>
      </c>
      <c r="N7" s="139" t="s">
        <v>257</v>
      </c>
      <c r="Q7" s="6" t="s">
        <v>750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31</v>
      </c>
      <c r="D8" s="136" t="str">
        <f t="shared" si="1"/>
        <v>Vlastiti prihodi</v>
      </c>
      <c r="E8" s="148">
        <v>6614</v>
      </c>
      <c r="F8" s="188" t="str">
        <f t="shared" si="2"/>
        <v>Prihodi od prodanih proizvoda i robe</v>
      </c>
      <c r="G8" s="182">
        <v>350000</v>
      </c>
      <c r="H8" s="182">
        <v>350000</v>
      </c>
      <c r="I8" s="182">
        <f t="shared" si="3"/>
        <v>0</v>
      </c>
      <c r="K8" s="139" t="str">
        <f t="shared" si="4"/>
        <v>661</v>
      </c>
      <c r="L8" s="139" t="str">
        <f t="shared" si="5"/>
        <v>66</v>
      </c>
      <c r="M8" s="139">
        <v>31</v>
      </c>
      <c r="N8" s="139" t="s">
        <v>95</v>
      </c>
      <c r="Q8" s="6">
        <v>614810041</v>
      </c>
      <c r="R8" s="6" t="s">
        <v>1350</v>
      </c>
      <c r="S8" s="6">
        <v>41</v>
      </c>
      <c r="T8" s="6" t="s">
        <v>1346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31</v>
      </c>
      <c r="D9" s="136" t="str">
        <f t="shared" si="1"/>
        <v>Vlastiti prihodi</v>
      </c>
      <c r="E9" s="148">
        <v>6615</v>
      </c>
      <c r="F9" s="188" t="str">
        <f t="shared" si="2"/>
        <v>Prihodi od pruženih usluga</v>
      </c>
      <c r="G9" s="182">
        <v>8000000</v>
      </c>
      <c r="H9" s="182">
        <v>12000000</v>
      </c>
      <c r="I9" s="182">
        <f t="shared" si="3"/>
        <v>4000000</v>
      </c>
      <c r="K9" s="139" t="str">
        <f t="shared" si="4"/>
        <v>661</v>
      </c>
      <c r="L9" s="139" t="str">
        <f t="shared" si="5"/>
        <v>66</v>
      </c>
      <c r="M9">
        <v>41</v>
      </c>
      <c r="N9" t="s">
        <v>1346</v>
      </c>
      <c r="Q9" s="6">
        <v>614820041</v>
      </c>
      <c r="R9" s="6" t="s">
        <v>1351</v>
      </c>
      <c r="S9" s="6">
        <v>41</v>
      </c>
      <c r="T9" s="6" t="s">
        <v>1346</v>
      </c>
      <c r="U9">
        <v>614</v>
      </c>
    </row>
    <row r="10" spans="1:21">
      <c r="A10" s="137" t="str">
        <f>IF(E10="","",VLOOKUP('Opći dio'!$C$3,'Opći dio'!$L$6:$U$137,10,FALSE))</f>
        <v/>
      </c>
      <c r="B10" s="137" t="str">
        <f>IF(E10="","",VLOOKUP('Opći dio'!$C$3,'Opći dio'!$L$6:$U$137,9,FALSE))</f>
        <v/>
      </c>
      <c r="C10" s="184" t="str">
        <f t="shared" si="0"/>
        <v/>
      </c>
      <c r="D10" s="136" t="str">
        <f t="shared" si="1"/>
        <v/>
      </c>
      <c r="E10" s="148"/>
      <c r="F10" s="188" t="str">
        <f t="shared" si="2"/>
        <v/>
      </c>
      <c r="G10" s="182"/>
      <c r="H10" s="182"/>
      <c r="I10" s="182"/>
      <c r="K10" s="139" t="str">
        <f t="shared" si="4"/>
        <v/>
      </c>
      <c r="L10" s="139" t="str">
        <f t="shared" si="5"/>
        <v/>
      </c>
      <c r="M10" s="139">
        <v>43</v>
      </c>
      <c r="N10" s="139" t="s">
        <v>100</v>
      </c>
      <c r="Q10" s="6">
        <v>614830041</v>
      </c>
      <c r="R10" s="6" t="s">
        <v>1352</v>
      </c>
      <c r="S10" s="6">
        <v>41</v>
      </c>
      <c r="T10" s="6" t="s">
        <v>1346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43</v>
      </c>
      <c r="D11" s="136" t="str">
        <f t="shared" si="1"/>
        <v>Ostali prihodi za posebne namjene</v>
      </c>
      <c r="E11" s="148">
        <v>65264</v>
      </c>
      <c r="F11" s="188" t="str">
        <f t="shared" si="2"/>
        <v>Sufinanciranje cijene usluge, participacije i slično</v>
      </c>
      <c r="G11" s="182">
        <v>15000000</v>
      </c>
      <c r="H11" s="182">
        <v>15000000</v>
      </c>
      <c r="I11" s="182">
        <f t="shared" si="3"/>
        <v>0</v>
      </c>
      <c r="K11" s="139" t="str">
        <f t="shared" si="4"/>
        <v>652</v>
      </c>
      <c r="L11" s="139" t="str">
        <f t="shared" si="5"/>
        <v>65</v>
      </c>
      <c r="M11" s="139">
        <v>51</v>
      </c>
      <c r="N11" s="139" t="s">
        <v>90</v>
      </c>
      <c r="Q11" s="6">
        <v>614840041</v>
      </c>
      <c r="R11" s="6" t="s">
        <v>1353</v>
      </c>
      <c r="S11" s="6">
        <v>41</v>
      </c>
      <c r="T11" s="6" t="s">
        <v>1346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4"/>
        <v/>
      </c>
      <c r="L12" s="139" t="str">
        <f t="shared" si="5"/>
        <v/>
      </c>
      <c r="M12">
        <v>552</v>
      </c>
      <c r="N12" t="s">
        <v>1347</v>
      </c>
      <c r="Q12" s="6">
        <v>631120000</v>
      </c>
      <c r="R12" s="6" t="s">
        <v>26</v>
      </c>
      <c r="S12" s="6">
        <v>52</v>
      </c>
      <c r="T12" s="6" t="s">
        <v>1866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 t="shared" si="0"/>
        <v>51</v>
      </c>
      <c r="D13" s="136" t="str">
        <f t="shared" si="1"/>
        <v xml:space="preserve">Pomoći EU </v>
      </c>
      <c r="E13" s="148">
        <v>632311700</v>
      </c>
      <c r="F13" s="188" t="str">
        <f t="shared" si="2"/>
        <v>Tekuće pomoći od institucija i tijela EU - ostalo</v>
      </c>
      <c r="G13" s="182">
        <v>1673253</v>
      </c>
      <c r="H13" s="182">
        <v>2902942</v>
      </c>
      <c r="I13" s="182">
        <f t="shared" si="3"/>
        <v>1229689</v>
      </c>
      <c r="K13" s="139" t="str">
        <f t="shared" si="4"/>
        <v>632</v>
      </c>
      <c r="L13" s="139" t="str">
        <f t="shared" si="5"/>
        <v>63</v>
      </c>
      <c r="M13">
        <v>559</v>
      </c>
      <c r="N13" t="s">
        <v>1348</v>
      </c>
      <c r="Q13" s="6">
        <v>631210000</v>
      </c>
      <c r="R13" s="6" t="s">
        <v>27</v>
      </c>
      <c r="S13" s="6">
        <v>52</v>
      </c>
      <c r="T13" s="6" t="s">
        <v>1866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4"/>
        <v/>
      </c>
      <c r="L14" s="139" t="str">
        <f t="shared" si="5"/>
        <v/>
      </c>
      <c r="M14" s="139">
        <v>561</v>
      </c>
      <c r="N14" s="139" t="s">
        <v>115</v>
      </c>
      <c r="Q14" s="6">
        <v>631220000</v>
      </c>
      <c r="R14" s="6" t="s">
        <v>28</v>
      </c>
      <c r="S14" s="6">
        <v>52</v>
      </c>
      <c r="T14" s="6" t="s">
        <v>1866</v>
      </c>
      <c r="U14">
        <v>631</v>
      </c>
    </row>
    <row r="15" spans="1:21">
      <c r="A15" s="137" t="str">
        <f>IF(E15="","",VLOOKUP('Opći dio'!$C$3,'Opći dio'!$L$6:$U$137,10,FALSE))</f>
        <v>08006</v>
      </c>
      <c r="B15" s="137" t="str">
        <f>IF(E15="","",VLOOKUP('Opći dio'!$C$3,'Opći dio'!$L$6:$U$137,9,FALSE))</f>
        <v>Sveučilišta i veleučilišta u Republici Hrvatskoj</v>
      </c>
      <c r="C15" s="184">
        <f t="shared" si="0"/>
        <v>52</v>
      </c>
      <c r="D15" s="136" t="str">
        <f t="shared" si="1"/>
        <v xml:space="preserve">Ostale pomoći i darovnice </v>
      </c>
      <c r="E15" s="148">
        <v>6391</v>
      </c>
      <c r="F15" s="188" t="str">
        <f t="shared" si="2"/>
        <v>Tekući prijenosi između proračunskih korisnika istog proračuna</v>
      </c>
      <c r="G15" s="182">
        <f>250000+1952456</f>
        <v>2202456</v>
      </c>
      <c r="H15" s="182">
        <v>2918728</v>
      </c>
      <c r="I15" s="182">
        <f t="shared" si="3"/>
        <v>716272</v>
      </c>
      <c r="K15" s="139" t="str">
        <f t="shared" si="4"/>
        <v>639</v>
      </c>
      <c r="L15" s="139" t="str">
        <f t="shared" si="5"/>
        <v>63</v>
      </c>
      <c r="M15" s="139">
        <v>563</v>
      </c>
      <c r="N15" s="139" t="s">
        <v>117</v>
      </c>
      <c r="Q15" s="6">
        <v>632112000</v>
      </c>
      <c r="R15" s="6" t="s">
        <v>1867</v>
      </c>
      <c r="S15" s="6">
        <v>52</v>
      </c>
      <c r="T15" s="6" t="s">
        <v>1866</v>
      </c>
      <c r="U15">
        <v>632</v>
      </c>
    </row>
    <row r="16" spans="1:21">
      <c r="A16" s="137" t="str">
        <f>IF(E16="","",VLOOKUP('Opći dio'!$C$3,'Opći dio'!$L$6:$U$137,10,FALSE))</f>
        <v>08006</v>
      </c>
      <c r="B16" s="137" t="str">
        <f>IF(E16="","",VLOOKUP('Opći dio'!$C$3,'Opći dio'!$L$6:$U$137,9,FALSE))</f>
        <v>Sveučilišta i veleučilišta u Republici Hrvatskoj</v>
      </c>
      <c r="C16" s="184">
        <f t="shared" si="0"/>
        <v>52</v>
      </c>
      <c r="D16" s="136" t="str">
        <f t="shared" si="1"/>
        <v xml:space="preserve">Ostale pomoći i darovnice </v>
      </c>
      <c r="E16" s="148">
        <v>6393</v>
      </c>
      <c r="F16" s="188" t="str">
        <f t="shared" si="2"/>
        <v>Tekući prijenosi između proračunskih korisnika istog proračuna temeljem prijenosa EU sredstava</v>
      </c>
      <c r="G16" s="182">
        <v>576185</v>
      </c>
      <c r="H16" s="182">
        <v>6894845</v>
      </c>
      <c r="I16" s="182">
        <f t="shared" si="3"/>
        <v>6318660</v>
      </c>
      <c r="K16" s="139" t="str">
        <f t="shared" si="4"/>
        <v>639</v>
      </c>
      <c r="L16" s="139" t="str">
        <f t="shared" si="5"/>
        <v>63</v>
      </c>
      <c r="M16" s="139">
        <v>573</v>
      </c>
      <c r="N16" t="s">
        <v>1358</v>
      </c>
      <c r="Q16" s="6">
        <v>632212000</v>
      </c>
      <c r="R16" s="6" t="s">
        <v>1868</v>
      </c>
      <c r="S16" s="6">
        <v>52</v>
      </c>
      <c r="T16" s="6" t="s">
        <v>1866</v>
      </c>
      <c r="U16">
        <v>632</v>
      </c>
    </row>
    <row r="17" spans="1:21">
      <c r="A17" s="137" t="str">
        <f>IF(E17="","",VLOOKUP('Opći dio'!$C$3,'Opći dio'!$L$6:$U$137,10,FALSE))</f>
        <v>08006</v>
      </c>
      <c r="B17" s="137" t="str">
        <f>IF(E17="","",VLOOKUP('Opći dio'!$C$3,'Opći dio'!$L$6:$U$137,9,FALSE))</f>
        <v>Sveučilišta i veleučilišta u Republici Hrvatskoj</v>
      </c>
      <c r="C17" s="184">
        <f t="shared" si="0"/>
        <v>52</v>
      </c>
      <c r="D17" s="136" t="str">
        <f t="shared" si="1"/>
        <v xml:space="preserve">Ostale pomoći i darovnice </v>
      </c>
      <c r="E17" s="148">
        <v>6381</v>
      </c>
      <c r="F17" s="188" t="str">
        <f t="shared" si="2"/>
        <v>Tekuće pomoći temeljem prijenosa EU sredstava iz proračuna JLP(R)S, korisnika JLPRS ili izvanproračunskog korisnika</v>
      </c>
      <c r="G17" s="182">
        <f>30629+3189658</f>
        <v>3220287</v>
      </c>
      <c r="H17" s="182">
        <v>1754757</v>
      </c>
      <c r="I17" s="182">
        <f t="shared" si="3"/>
        <v>-1465530</v>
      </c>
      <c r="K17" s="139" t="str">
        <f t="shared" si="4"/>
        <v>638</v>
      </c>
      <c r="L17" s="139" t="str">
        <f t="shared" si="5"/>
        <v>63</v>
      </c>
      <c r="M17">
        <v>575</v>
      </c>
      <c r="N17" t="s">
        <v>1360</v>
      </c>
      <c r="Q17" s="6">
        <v>632310552</v>
      </c>
      <c r="R17" s="6" t="s">
        <v>1355</v>
      </c>
      <c r="S17" s="6">
        <v>552</v>
      </c>
      <c r="T17" s="6" t="s">
        <v>1347</v>
      </c>
      <c r="U17">
        <v>632</v>
      </c>
    </row>
    <row r="18" spans="1:21">
      <c r="A18" s="137" t="str">
        <f>IF(E18="","",VLOOKUP('Opći dio'!$C$3,'Opći dio'!$L$6:$U$137,10,FALSE))</f>
        <v>08006</v>
      </c>
      <c r="B18" s="137" t="str">
        <f>IF(E18="","",VLOOKUP('Opći dio'!$C$3,'Opći dio'!$L$6:$U$137,9,FALSE))</f>
        <v>Sveučilišta i veleučilišta u Republici Hrvatskoj</v>
      </c>
      <c r="C18" s="184">
        <v>52</v>
      </c>
      <c r="D18" s="136" t="s">
        <v>1866</v>
      </c>
      <c r="E18" s="148">
        <v>631110000</v>
      </c>
      <c r="F18" s="188" t="s">
        <v>25</v>
      </c>
      <c r="G18" s="182">
        <v>61403</v>
      </c>
      <c r="H18" s="182">
        <v>183060</v>
      </c>
      <c r="I18" s="182">
        <f t="shared" si="3"/>
        <v>121657</v>
      </c>
      <c r="K18" s="139" t="str">
        <f t="shared" si="4"/>
        <v>631</v>
      </c>
      <c r="L18" s="139" t="str">
        <f t="shared" si="5"/>
        <v>63</v>
      </c>
      <c r="M18" s="200">
        <v>576</v>
      </c>
      <c r="N18" s="236" t="s">
        <v>1897</v>
      </c>
      <c r="Q18" s="6">
        <v>632310559</v>
      </c>
      <c r="R18" s="6" t="s">
        <v>1356</v>
      </c>
      <c r="S18" s="6">
        <v>559</v>
      </c>
      <c r="T18" s="6" t="s">
        <v>1348</v>
      </c>
      <c r="U18">
        <v>632</v>
      </c>
    </row>
    <row r="19" spans="1:21">
      <c r="A19" s="137" t="str">
        <f>IF(E19="","",VLOOKUP('Opći dio'!$C$3,'Opći dio'!$L$6:$U$137,10,FALSE))</f>
        <v>08006</v>
      </c>
      <c r="B19" s="137" t="str">
        <f>IF(E19="","",VLOOKUP('Opći dio'!$C$3,'Opći dio'!$L$6:$U$137,9,FALSE))</f>
        <v>Sveučilišta i veleučilišta u Republici Hrvatskoj</v>
      </c>
      <c r="C19" s="184">
        <f t="shared" si="0"/>
        <v>52</v>
      </c>
      <c r="D19" s="136" t="str">
        <f t="shared" si="1"/>
        <v xml:space="preserve">Ostale pomoći i darovnice </v>
      </c>
      <c r="E19" s="148">
        <v>6394</v>
      </c>
      <c r="F19" s="188" t="str">
        <f t="shared" si="2"/>
        <v>Kapitalni prijenosi između proračunskih korisnika istog proračuna temeljem prijenosa EU sredstava</v>
      </c>
      <c r="G19" s="182">
        <v>850500</v>
      </c>
      <c r="H19" s="182">
        <v>850500</v>
      </c>
      <c r="I19" s="182">
        <f t="shared" si="3"/>
        <v>0</v>
      </c>
      <c r="K19" s="139" t="str">
        <f t="shared" si="4"/>
        <v>639</v>
      </c>
      <c r="L19" s="139" t="str">
        <f t="shared" si="5"/>
        <v>63</v>
      </c>
      <c r="M19" s="207">
        <v>581</v>
      </c>
      <c r="N19" s="208" t="s">
        <v>1976</v>
      </c>
      <c r="Q19" s="6">
        <v>632310561</v>
      </c>
      <c r="R19" s="6" t="s">
        <v>115</v>
      </c>
      <c r="S19" s="6">
        <v>561</v>
      </c>
      <c r="T19" s="6" t="s">
        <v>115</v>
      </c>
      <c r="U19">
        <v>632</v>
      </c>
    </row>
    <row r="20" spans="1:21">
      <c r="A20" s="137" t="str">
        <f>IF(E20="","",VLOOKUP('Opći dio'!$C$3,'Opći dio'!$L$6:$U$137,10,FALSE))</f>
        <v>08006</v>
      </c>
      <c r="B20" s="137" t="str">
        <f>IF(E20="","",VLOOKUP('Opći dio'!$C$3,'Opći dio'!$L$6:$U$137,9,FALSE))</f>
        <v>Sveučilišta i veleučilišta u Republici Hrvatskoj</v>
      </c>
      <c r="C20" s="184">
        <f t="shared" si="0"/>
        <v>52</v>
      </c>
      <c r="D20" s="136" t="str">
        <f t="shared" si="1"/>
        <v xml:space="preserve">Ostale pomoći i darovnice </v>
      </c>
      <c r="E20" s="148">
        <v>6361</v>
      </c>
      <c r="F20" s="188" t="str">
        <f t="shared" si="2"/>
        <v>Tekuće pomoći proračunskim korisnicima iz proračuna JLP(R)S koji im nije nadležan</v>
      </c>
      <c r="G20" s="182">
        <v>676071</v>
      </c>
      <c r="H20" s="182">
        <f>3475779-2236223</f>
        <v>1239556</v>
      </c>
      <c r="I20" s="182">
        <f t="shared" si="3"/>
        <v>563485</v>
      </c>
      <c r="K20" s="139" t="str">
        <f t="shared" si="4"/>
        <v>636</v>
      </c>
      <c r="L20" s="139" t="str">
        <f t="shared" si="5"/>
        <v>63</v>
      </c>
      <c r="M20" s="139">
        <v>61</v>
      </c>
      <c r="N20" s="139" t="s">
        <v>119</v>
      </c>
      <c r="Q20" s="6">
        <v>632310563</v>
      </c>
      <c r="R20" s="6" t="s">
        <v>1945</v>
      </c>
      <c r="S20" s="6">
        <v>563</v>
      </c>
      <c r="T20" s="6" t="s">
        <v>117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4"/>
        <v/>
      </c>
      <c r="L21" s="139" t="str">
        <f t="shared" si="5"/>
        <v/>
      </c>
      <c r="M21" s="139">
        <v>71</v>
      </c>
      <c r="N21" s="139" t="s">
        <v>177</v>
      </c>
      <c r="Q21" s="6">
        <v>632310573</v>
      </c>
      <c r="R21" s="6" t="s">
        <v>1357</v>
      </c>
      <c r="S21" s="6">
        <v>573</v>
      </c>
      <c r="T21" s="6" t="s">
        <v>1358</v>
      </c>
      <c r="U21">
        <v>632</v>
      </c>
    </row>
    <row r="22" spans="1:21">
      <c r="A22" s="137" t="str">
        <f>IF(E22="","",VLOOKUP('Opći dio'!$C$3,'Opći dio'!$L$6:$U$137,10,FALSE))</f>
        <v>08006</v>
      </c>
      <c r="B22" s="137" t="str">
        <f>IF(E22="","",VLOOKUP('Opći dio'!$C$3,'Opći dio'!$L$6:$U$137,9,FALSE))</f>
        <v>Sveučilišta i veleučilišta u Republici Hrvatskoj</v>
      </c>
      <c r="C22" s="184">
        <f t="shared" si="0"/>
        <v>61</v>
      </c>
      <c r="D22" s="136" t="str">
        <f t="shared" si="1"/>
        <v xml:space="preserve">Donacije </v>
      </c>
      <c r="E22" s="148">
        <v>663110000</v>
      </c>
      <c r="F22" s="188" t="str">
        <f t="shared" si="2"/>
        <v>Tekuće donacije od fizičkih osoba</v>
      </c>
      <c r="G22" s="182">
        <v>5000</v>
      </c>
      <c r="H22" s="182">
        <v>2000</v>
      </c>
      <c r="I22" s="182">
        <f t="shared" si="3"/>
        <v>-3000</v>
      </c>
      <c r="K22" s="139" t="str">
        <f t="shared" si="4"/>
        <v>663</v>
      </c>
      <c r="L22" s="139" t="str">
        <f t="shared" si="5"/>
        <v>66</v>
      </c>
      <c r="M22" s="139">
        <v>81</v>
      </c>
      <c r="N22" s="139" t="s">
        <v>60</v>
      </c>
      <c r="Q22" s="6">
        <v>632310575</v>
      </c>
      <c r="R22" s="6" t="s">
        <v>1359</v>
      </c>
      <c r="S22" s="6">
        <v>575</v>
      </c>
      <c r="T22" s="6" t="s">
        <v>1360</v>
      </c>
      <c r="U22">
        <v>632</v>
      </c>
    </row>
    <row r="23" spans="1:21">
      <c r="A23" s="137" t="str">
        <f>IF(E23="","",VLOOKUP('Opći dio'!$C$3,'Opći dio'!$L$6:$U$137,10,FALSE))</f>
        <v>08006</v>
      </c>
      <c r="B23" s="137" t="str">
        <f>IF(E23="","",VLOOKUP('Opći dio'!$C$3,'Opći dio'!$L$6:$U$137,9,FALSE))</f>
        <v>Sveučilišta i veleučilišta u Republici Hrvatskoj</v>
      </c>
      <c r="C23" s="184">
        <f t="shared" si="0"/>
        <v>61</v>
      </c>
      <c r="D23" s="136" t="str">
        <f t="shared" si="1"/>
        <v xml:space="preserve">Donacije </v>
      </c>
      <c r="E23" s="148">
        <v>663120000</v>
      </c>
      <c r="F23" s="188" t="str">
        <f t="shared" si="2"/>
        <v>Tekuće donacije od neprofitnih organizacija</v>
      </c>
      <c r="G23" s="182">
        <v>15000</v>
      </c>
      <c r="H23" s="182">
        <v>215630</v>
      </c>
      <c r="I23" s="182">
        <f t="shared" si="3"/>
        <v>200630</v>
      </c>
      <c r="K23" s="139" t="str">
        <f t="shared" si="4"/>
        <v>663</v>
      </c>
      <c r="L23" s="139" t="str">
        <f t="shared" si="5"/>
        <v>66</v>
      </c>
      <c r="M23" s="239">
        <v>83</v>
      </c>
      <c r="N23" s="239" t="s">
        <v>1349</v>
      </c>
      <c r="Q23" s="6">
        <v>632315761</v>
      </c>
      <c r="R23" s="6" t="s">
        <v>1977</v>
      </c>
      <c r="S23" s="6">
        <v>576</v>
      </c>
      <c r="T23" s="6" t="s">
        <v>1898</v>
      </c>
      <c r="U23">
        <v>632</v>
      </c>
    </row>
    <row r="24" spans="1:21">
      <c r="A24" s="137" t="str">
        <f>IF(E24="","",VLOOKUP('Opći dio'!$C$3,'Opći dio'!$L$6:$U$137,10,FALSE))</f>
        <v>08006</v>
      </c>
      <c r="B24" s="137" t="str">
        <f>IF(E24="","",VLOOKUP('Opći dio'!$C$3,'Opći dio'!$L$6:$U$137,9,FALSE))</f>
        <v>Sveučilišta i veleučilišta u Republici Hrvatskoj</v>
      </c>
      <c r="C24" s="184">
        <f t="shared" si="0"/>
        <v>61</v>
      </c>
      <c r="D24" s="136" t="str">
        <f t="shared" si="1"/>
        <v xml:space="preserve">Donacije </v>
      </c>
      <c r="E24" s="148">
        <v>663130000</v>
      </c>
      <c r="F24" s="188" t="str">
        <f t="shared" si="2"/>
        <v>Tekuće donacije od trgovačkih društava</v>
      </c>
      <c r="G24" s="182">
        <v>95070</v>
      </c>
      <c r="H24" s="182">
        <v>570347</v>
      </c>
      <c r="I24" s="182">
        <f t="shared" si="3"/>
        <v>475277</v>
      </c>
      <c r="K24" s="139" t="str">
        <f t="shared" si="4"/>
        <v>663</v>
      </c>
      <c r="L24" s="139" t="str">
        <f t="shared" si="5"/>
        <v>66</v>
      </c>
      <c r="Q24" s="6">
        <v>632310581</v>
      </c>
      <c r="R24" s="6" t="s">
        <v>1979</v>
      </c>
      <c r="S24" s="6">
        <v>581</v>
      </c>
      <c r="T24" s="6" t="s">
        <v>1976</v>
      </c>
      <c r="U24">
        <v>632</v>
      </c>
    </row>
    <row r="25" spans="1:21">
      <c r="A25" s="137" t="str">
        <f>IF(E25="","",VLOOKUP('Opći dio'!$C$3,'Opći dio'!$L$6:$U$137,10,FALSE))</f>
        <v>08006</v>
      </c>
      <c r="B25" s="137" t="str">
        <f>IF(E25="","",VLOOKUP('Opći dio'!$C$3,'Opći dio'!$L$6:$U$137,9,FALSE))</f>
        <v>Sveučilišta i veleučilišta u Republici Hrvatskoj</v>
      </c>
      <c r="C25" s="184">
        <f t="shared" si="0"/>
        <v>61</v>
      </c>
      <c r="D25" s="136" t="str">
        <f t="shared" si="1"/>
        <v xml:space="preserve">Donacije </v>
      </c>
      <c r="E25" s="148">
        <v>663140000</v>
      </c>
      <c r="F25" s="188" t="str">
        <f t="shared" si="2"/>
        <v>Tekuće donacije od ostalih subjekata izvan općeg proračuna</v>
      </c>
      <c r="G25" s="182">
        <v>10000</v>
      </c>
      <c r="H25" s="182">
        <v>30000</v>
      </c>
      <c r="I25" s="182">
        <f t="shared" si="3"/>
        <v>20000</v>
      </c>
      <c r="K25" s="139" t="str">
        <f t="shared" si="4"/>
        <v>663</v>
      </c>
      <c r="L25" s="139" t="str">
        <f t="shared" si="5"/>
        <v>66</v>
      </c>
      <c r="Q25" s="6">
        <v>632311700</v>
      </c>
      <c r="R25" s="6" t="s">
        <v>23</v>
      </c>
      <c r="S25" s="6">
        <v>51</v>
      </c>
      <c r="T25" s="6" t="s">
        <v>1869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4"/>
        <v/>
      </c>
      <c r="L26" s="139" t="str">
        <f t="shared" si="5"/>
        <v/>
      </c>
      <c r="Q26" s="6">
        <v>632311800</v>
      </c>
      <c r="R26" s="6" t="s">
        <v>241</v>
      </c>
      <c r="S26" s="6">
        <v>51</v>
      </c>
      <c r="T26" s="6" t="s">
        <v>1869</v>
      </c>
      <c r="U26">
        <v>632</v>
      </c>
    </row>
    <row r="27" spans="1:21">
      <c r="A27" s="137" t="str">
        <f>IF(E27="","",VLOOKUP('Opći dio'!$C$3,'Opći dio'!$L$6:$U$137,10,FALSE))</f>
        <v>08006</v>
      </c>
      <c r="B27" s="137" t="str">
        <f>IF(E27="","",VLOOKUP('Opći dio'!$C$3,'Opći dio'!$L$6:$U$137,9,FALSE))</f>
        <v>Sveučilišta i veleučilišta u Republici Hrvatskoj</v>
      </c>
      <c r="C27" s="184">
        <f t="shared" si="0"/>
        <v>71</v>
      </c>
      <c r="D27" s="136" t="str">
        <f t="shared" si="1"/>
        <v>Prihodi od prodaje ili zamjene nefinancijske imovine i naknade s naslova osiguranja</v>
      </c>
      <c r="E27" s="148">
        <v>721110071</v>
      </c>
      <c r="F27" s="188" t="str">
        <f t="shared" si="2"/>
        <v>Stambeni objekti za zaposlene izvor 71</v>
      </c>
      <c r="G27" s="182">
        <v>30000</v>
      </c>
      <c r="H27" s="182">
        <v>30000</v>
      </c>
      <c r="I27" s="182">
        <f t="shared" si="3"/>
        <v>0</v>
      </c>
      <c r="K27" s="139" t="str">
        <f t="shared" si="4"/>
        <v>721</v>
      </c>
      <c r="L27" s="139" t="str">
        <f t="shared" si="5"/>
        <v>72</v>
      </c>
      <c r="Q27" s="6">
        <v>632410552</v>
      </c>
      <c r="R27" s="6" t="s">
        <v>1361</v>
      </c>
      <c r="S27" s="6">
        <v>552</v>
      </c>
      <c r="T27" s="6" t="s">
        <v>1347</v>
      </c>
      <c r="U27">
        <v>632</v>
      </c>
    </row>
    <row r="28" spans="1:21">
      <c r="A28" s="137" t="str">
        <f>IF(E28="","",VLOOKUP('Opći dio'!$C$3,'Opći dio'!$L$6:$U$137,10,FALSE))</f>
        <v>08006</v>
      </c>
      <c r="B28" s="137" t="str">
        <f>IF(E28="","",VLOOKUP('Opći dio'!$C$3,'Opći dio'!$L$6:$U$137,9,FALSE))</f>
        <v>Sveučilišta i veleučilišta u Republici Hrvatskoj</v>
      </c>
      <c r="C28" s="184">
        <f t="shared" si="0"/>
        <v>71</v>
      </c>
      <c r="D28" s="136" t="str">
        <f t="shared" si="1"/>
        <v>Prihodi od prodaje ili zamjene nefinancijske imovine i naknade s naslova osiguranja</v>
      </c>
      <c r="E28" s="148">
        <v>723110071</v>
      </c>
      <c r="F28" s="188" t="str">
        <f t="shared" si="2"/>
        <v>Osobni automobili izvor 71</v>
      </c>
      <c r="G28" s="182">
        <v>10000</v>
      </c>
      <c r="H28" s="182">
        <v>0</v>
      </c>
      <c r="I28" s="182">
        <f t="shared" si="3"/>
        <v>-10000</v>
      </c>
      <c r="K28" s="139" t="str">
        <f t="shared" si="4"/>
        <v>723</v>
      </c>
      <c r="L28" s="139" t="str">
        <f t="shared" si="5"/>
        <v>72</v>
      </c>
      <c r="Q28" s="6">
        <v>632410559</v>
      </c>
      <c r="R28" s="6" t="s">
        <v>1362</v>
      </c>
      <c r="S28" s="6">
        <v>559</v>
      </c>
      <c r="T28" s="6" t="s">
        <v>1348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4"/>
        <v/>
      </c>
      <c r="L29" s="139" t="str">
        <f t="shared" si="5"/>
        <v/>
      </c>
      <c r="Q29" s="6">
        <v>632410561</v>
      </c>
      <c r="R29" s="6" t="s">
        <v>115</v>
      </c>
      <c r="S29" s="6">
        <v>561</v>
      </c>
      <c r="T29" s="6" t="s">
        <v>115</v>
      </c>
      <c r="U29">
        <v>632</v>
      </c>
    </row>
    <row r="30" spans="1:21">
      <c r="A30" s="137" t="str">
        <f>IF(E30="","",VLOOKUP('Opći dio'!$C$3,'Opći dio'!$L$6:$U$137,10,FALSE))</f>
        <v>08006</v>
      </c>
      <c r="B30" s="137" t="str">
        <f>IF(E30="","",VLOOKUP('Opći dio'!$C$3,'Opći dio'!$L$6:$U$137,9,FALSE))</f>
        <v>Sveučilišta i veleučilišta u Republici Hrvatskoj</v>
      </c>
      <c r="C30" s="184">
        <f t="shared" si="0"/>
        <v>561</v>
      </c>
      <c r="D30" s="136" t="str">
        <f t="shared" si="1"/>
        <v>Europski socijalni fond (ESF)</v>
      </c>
      <c r="E30" s="148">
        <v>632310561</v>
      </c>
      <c r="F30" s="188" t="str">
        <f t="shared" si="2"/>
        <v>Europski socijalni fond (ESF)</v>
      </c>
      <c r="G30" s="182">
        <v>275770</v>
      </c>
      <c r="H30" s="182">
        <v>1142711</v>
      </c>
      <c r="I30" s="182">
        <f t="shared" si="3"/>
        <v>866941</v>
      </c>
      <c r="K30" s="139" t="str">
        <f t="shared" si="4"/>
        <v>632</v>
      </c>
      <c r="L30" s="139" t="str">
        <f t="shared" si="5"/>
        <v>63</v>
      </c>
      <c r="Q30" s="6">
        <v>632410563</v>
      </c>
      <c r="R30" s="6" t="s">
        <v>1945</v>
      </c>
      <c r="S30" s="6">
        <v>563</v>
      </c>
      <c r="T30" s="6" t="s">
        <v>117</v>
      </c>
      <c r="U30">
        <v>632</v>
      </c>
    </row>
    <row r="31" spans="1:21">
      <c r="A31" s="137" t="str">
        <f>IF(E31="","",VLOOKUP('Opći dio'!$C$3,'Opći dio'!$L$6:$U$137,10,FALSE))</f>
        <v>08006</v>
      </c>
      <c r="B31" s="137" t="str">
        <f>IF(E31="","",VLOOKUP('Opći dio'!$C$3,'Opći dio'!$L$6:$U$137,9,FALSE))</f>
        <v>Sveučilišta i veleučilišta u Republici Hrvatskoj</v>
      </c>
      <c r="C31" s="184">
        <f t="shared" si="0"/>
        <v>12</v>
      </c>
      <c r="D31" s="136" t="str">
        <f t="shared" si="1"/>
        <v>Sredstva učešća za pomoći</v>
      </c>
      <c r="E31" s="148" t="s">
        <v>750</v>
      </c>
      <c r="F31" s="188" t="str">
        <f t="shared" si="2"/>
        <v>Prihodi iz nadležnog proračuna za financiranje redovne djelatnosti proračunskih korisnika</v>
      </c>
      <c r="G31" s="182">
        <v>48665</v>
      </c>
      <c r="H31" s="182">
        <v>293942</v>
      </c>
      <c r="I31" s="182">
        <f t="shared" si="3"/>
        <v>245277</v>
      </c>
      <c r="K31" s="139" t="str">
        <f t="shared" si="4"/>
        <v>671</v>
      </c>
      <c r="L31" s="139" t="str">
        <f t="shared" si="5"/>
        <v>67</v>
      </c>
      <c r="Q31" s="6">
        <v>632410573</v>
      </c>
      <c r="R31" s="6" t="s">
        <v>1363</v>
      </c>
      <c r="S31" s="6">
        <v>573</v>
      </c>
      <c r="T31" s="6" t="s">
        <v>1358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4"/>
        <v/>
      </c>
      <c r="L32" s="139" t="str">
        <f t="shared" si="5"/>
        <v/>
      </c>
      <c r="Q32" s="6">
        <v>632410575</v>
      </c>
      <c r="R32" s="6" t="s">
        <v>1364</v>
      </c>
      <c r="S32" s="6">
        <v>575</v>
      </c>
      <c r="T32" s="6" t="s">
        <v>1360</v>
      </c>
      <c r="U32">
        <v>632</v>
      </c>
    </row>
    <row r="33" spans="1:21">
      <c r="A33" s="137" t="str">
        <f>IF(E33="","",VLOOKUP('Opći dio'!$C$3,'Opći dio'!$L$6:$U$137,10,FALSE))</f>
        <v>08006</v>
      </c>
      <c r="B33" s="137" t="str">
        <f>IF(E33="","",VLOOKUP('Opći dio'!$C$3,'Opći dio'!$L$6:$U$137,9,FALSE))</f>
        <v>Sveučilišta i veleučilišta u Republici Hrvatskoj</v>
      </c>
      <c r="C33" s="184">
        <f t="shared" si="0"/>
        <v>563</v>
      </c>
      <c r="D33" s="136" t="str">
        <f t="shared" si="1"/>
        <v>Europski fond za regionalni razvoj (ERDF)</v>
      </c>
      <c r="E33" s="148">
        <v>632410563</v>
      </c>
      <c r="F33" s="188" t="str">
        <f t="shared" si="2"/>
        <v>Europski fond za regionalni razvoj (EFRR)</v>
      </c>
      <c r="G33" s="182">
        <v>196000</v>
      </c>
      <c r="H33" s="182">
        <v>0</v>
      </c>
      <c r="I33" s="182">
        <f t="shared" si="3"/>
        <v>-196000</v>
      </c>
      <c r="K33" s="139" t="str">
        <f t="shared" si="4"/>
        <v>632</v>
      </c>
      <c r="L33" s="139" t="str">
        <f t="shared" si="5"/>
        <v>63</v>
      </c>
      <c r="Q33" s="6">
        <v>632415761</v>
      </c>
      <c r="R33" s="6" t="s">
        <v>1978</v>
      </c>
      <c r="S33" s="6">
        <v>576</v>
      </c>
      <c r="T33" s="6" t="s">
        <v>1898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4"/>
        <v/>
      </c>
      <c r="L34" s="139" t="str">
        <f t="shared" si="5"/>
        <v/>
      </c>
      <c r="Q34" s="6">
        <v>632410581</v>
      </c>
      <c r="R34" s="6" t="s">
        <v>1980</v>
      </c>
      <c r="S34" s="6">
        <v>581</v>
      </c>
      <c r="T34" s="6" t="s">
        <v>1976</v>
      </c>
      <c r="U34">
        <v>632</v>
      </c>
    </row>
    <row r="35" spans="1:21">
      <c r="A35" s="137" t="s">
        <v>48</v>
      </c>
      <c r="B35" s="137" t="s">
        <v>49</v>
      </c>
      <c r="C35" s="184">
        <v>11</v>
      </c>
      <c r="D35" s="136" t="s">
        <v>50</v>
      </c>
      <c r="E35" s="148" t="s">
        <v>749</v>
      </c>
      <c r="F35" s="188" t="str">
        <f t="shared" si="2"/>
        <v>Prihodi iz nadležnog proračuna za financiranje redovne djelatnosti proračunskih korisnika</v>
      </c>
      <c r="G35" s="182">
        <v>0</v>
      </c>
      <c r="H35" s="182">
        <v>691940</v>
      </c>
      <c r="I35" s="182">
        <f t="shared" si="3"/>
        <v>691940</v>
      </c>
      <c r="K35" s="139" t="str">
        <f t="shared" si="4"/>
        <v>671</v>
      </c>
      <c r="L35" s="139" t="str">
        <f t="shared" si="5"/>
        <v>67</v>
      </c>
      <c r="Q35" s="6">
        <v>632411700</v>
      </c>
      <c r="R35" s="6" t="s">
        <v>24</v>
      </c>
      <c r="S35" s="6">
        <v>51</v>
      </c>
      <c r="T35" s="6" t="s">
        <v>1869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4"/>
        <v/>
      </c>
      <c r="L36" s="139" t="str">
        <f t="shared" si="5"/>
        <v/>
      </c>
      <c r="Q36" s="6">
        <v>6341</v>
      </c>
      <c r="R36" s="6" t="s">
        <v>1900</v>
      </c>
      <c r="S36" s="6">
        <v>52</v>
      </c>
      <c r="T36" s="6" t="s">
        <v>1866</v>
      </c>
      <c r="U36">
        <v>634</v>
      </c>
    </row>
    <row r="37" spans="1:21">
      <c r="A37" s="137" t="str">
        <f>IF(E37="","",VLOOKUP('Opći dio'!$C$3,'Opći dio'!$L$6:$U$137,10,FALSE))</f>
        <v>08006</v>
      </c>
      <c r="B37" s="137" t="str">
        <f>IF(E37="","",VLOOKUP('Opći dio'!$C$3,'Opći dio'!$L$6:$U$137,9,FALSE))</f>
        <v>Sveučilišta i veleučilišta u Republici Hrvatskoj</v>
      </c>
      <c r="C37" s="184">
        <f t="shared" si="0"/>
        <v>52</v>
      </c>
      <c r="D37" s="136" t="str">
        <f t="shared" si="1"/>
        <v xml:space="preserve">Ostale pomoći i darovnice </v>
      </c>
      <c r="E37" s="148">
        <v>6393</v>
      </c>
      <c r="F37" s="188" t="str">
        <f t="shared" si="2"/>
        <v>Tekući prijenosi između proračunskih korisnika istog proračuna temeljem prijenosa EU sredstava</v>
      </c>
      <c r="G37" s="182">
        <v>0</v>
      </c>
      <c r="H37" s="182">
        <v>16475972</v>
      </c>
      <c r="I37" s="182">
        <f t="shared" si="3"/>
        <v>16475972</v>
      </c>
      <c r="K37" s="139" t="str">
        <f t="shared" si="4"/>
        <v>639</v>
      </c>
      <c r="L37" s="139" t="str">
        <f t="shared" si="5"/>
        <v>63</v>
      </c>
      <c r="Q37" s="6">
        <v>6342</v>
      </c>
      <c r="R37" s="6" t="s">
        <v>1901</v>
      </c>
      <c r="S37" s="6">
        <v>52</v>
      </c>
      <c r="T37" s="6" t="s">
        <v>1866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4"/>
        <v/>
      </c>
      <c r="L38" s="139" t="str">
        <f t="shared" si="5"/>
        <v/>
      </c>
      <c r="Q38" s="6">
        <v>6361</v>
      </c>
      <c r="R38" s="6" t="s">
        <v>1870</v>
      </c>
      <c r="S38" s="6">
        <v>52</v>
      </c>
      <c r="T38" s="6" t="s">
        <v>1866</v>
      </c>
      <c r="U38">
        <v>636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4"/>
        <v/>
      </c>
      <c r="L39" s="139" t="str">
        <f t="shared" si="5"/>
        <v/>
      </c>
      <c r="Q39" s="6">
        <v>6362</v>
      </c>
      <c r="R39" s="6" t="s">
        <v>1871</v>
      </c>
      <c r="S39" s="6">
        <v>52</v>
      </c>
      <c r="T39" s="6" t="s">
        <v>1866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4"/>
        <v/>
      </c>
      <c r="L40" s="139" t="str">
        <f t="shared" si="5"/>
        <v/>
      </c>
      <c r="Q40" s="6">
        <v>6381</v>
      </c>
      <c r="R40" s="6" t="s">
        <v>1981</v>
      </c>
      <c r="S40" s="6">
        <v>52</v>
      </c>
      <c r="T40" s="6" t="s">
        <v>1866</v>
      </c>
      <c r="U40">
        <v>638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>LEFT(E41,3)</f>
        <v/>
      </c>
      <c r="L41" s="139" t="str">
        <f>LEFT(E41,2)</f>
        <v/>
      </c>
      <c r="Q41" s="6">
        <v>6382</v>
      </c>
      <c r="R41" s="6" t="s">
        <v>1982</v>
      </c>
      <c r="S41" s="6">
        <v>52</v>
      </c>
      <c r="T41" s="6" t="s">
        <v>1866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 t="shared" si="4"/>
        <v/>
      </c>
      <c r="L42" s="139" t="str">
        <f t="shared" si="5"/>
        <v/>
      </c>
      <c r="Q42" s="6">
        <v>6391</v>
      </c>
      <c r="R42" s="6" t="s">
        <v>31</v>
      </c>
      <c r="S42" s="6">
        <v>52</v>
      </c>
      <c r="T42" s="6" t="s">
        <v>1866</v>
      </c>
      <c r="U42">
        <v>639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4"/>
        <v/>
      </c>
      <c r="L43" s="139" t="str">
        <f t="shared" si="5"/>
        <v/>
      </c>
      <c r="Q43" s="6">
        <v>6392</v>
      </c>
      <c r="R43" s="6" t="s">
        <v>32</v>
      </c>
      <c r="S43" s="6">
        <v>52</v>
      </c>
      <c r="T43" s="6" t="s">
        <v>1866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4"/>
        <v/>
      </c>
      <c r="L44" s="139" t="str">
        <f t="shared" si="5"/>
        <v/>
      </c>
      <c r="Q44" s="6">
        <v>6393</v>
      </c>
      <c r="R44" s="6" t="s">
        <v>33</v>
      </c>
      <c r="S44" s="6">
        <v>52</v>
      </c>
      <c r="T44" s="6" t="s">
        <v>1866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4"/>
        <v/>
      </c>
      <c r="L45" s="139" t="str">
        <f t="shared" si="5"/>
        <v/>
      </c>
      <c r="Q45" s="6">
        <v>6394</v>
      </c>
      <c r="R45" s="6" t="s">
        <v>34</v>
      </c>
      <c r="S45" s="6">
        <v>52</v>
      </c>
      <c r="T45" s="6" t="s">
        <v>1866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4"/>
        <v/>
      </c>
      <c r="L46" s="139" t="str">
        <f t="shared" si="5"/>
        <v/>
      </c>
      <c r="Q46" s="6">
        <v>641290031</v>
      </c>
      <c r="R46" s="6" t="s">
        <v>230</v>
      </c>
      <c r="S46" s="6">
        <v>31</v>
      </c>
      <c r="T46" s="6" t="s">
        <v>95</v>
      </c>
      <c r="U46">
        <v>641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4"/>
        <v/>
      </c>
      <c r="L47" s="139" t="str">
        <f t="shared" si="5"/>
        <v/>
      </c>
      <c r="Q47" s="6">
        <v>641310031</v>
      </c>
      <c r="R47" s="6" t="s">
        <v>231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4"/>
        <v/>
      </c>
      <c r="L48" s="139" t="str">
        <f t="shared" si="5"/>
        <v/>
      </c>
      <c r="Q48" s="6">
        <v>641320031</v>
      </c>
      <c r="R48" s="6" t="s">
        <v>232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4"/>
        <v/>
      </c>
      <c r="L49" s="139" t="str">
        <f t="shared" si="5"/>
        <v/>
      </c>
      <c r="Q49" s="6">
        <v>641320043</v>
      </c>
      <c r="R49" s="6" t="s">
        <v>1872</v>
      </c>
      <c r="S49" s="6">
        <v>43</v>
      </c>
      <c r="T49" s="6" t="s">
        <v>100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4"/>
        <v/>
      </c>
      <c r="L50" s="139" t="str">
        <f t="shared" si="5"/>
        <v/>
      </c>
      <c r="Q50" s="6">
        <v>641510031</v>
      </c>
      <c r="R50" s="6" t="s">
        <v>1873</v>
      </c>
      <c r="S50" s="6">
        <v>31</v>
      </c>
      <c r="T50" s="6" t="s">
        <v>95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4"/>
        <v/>
      </c>
      <c r="L51" s="139" t="str">
        <f t="shared" si="5"/>
        <v/>
      </c>
      <c r="Q51" s="6">
        <v>641510043</v>
      </c>
      <c r="R51" s="6" t="s">
        <v>1874</v>
      </c>
      <c r="S51" s="6">
        <v>43</v>
      </c>
      <c r="T51" s="6" t="s">
        <v>100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4"/>
        <v/>
      </c>
      <c r="L52" s="139" t="str">
        <f t="shared" si="5"/>
        <v/>
      </c>
      <c r="Q52" s="6">
        <v>641630031</v>
      </c>
      <c r="R52" s="6" t="s">
        <v>233</v>
      </c>
      <c r="S52" s="6">
        <v>31</v>
      </c>
      <c r="T52" s="6" t="s">
        <v>95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4"/>
        <v/>
      </c>
      <c r="L53" s="139" t="str">
        <f t="shared" si="5"/>
        <v/>
      </c>
      <c r="Q53" s="6">
        <v>641720043</v>
      </c>
      <c r="R53" s="6" t="s">
        <v>236</v>
      </c>
      <c r="S53" s="6">
        <v>43</v>
      </c>
      <c r="T53" s="6" t="s">
        <v>100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4"/>
        <v/>
      </c>
      <c r="L54" s="139" t="str">
        <f t="shared" si="5"/>
        <v/>
      </c>
      <c r="Q54" s="6">
        <v>641770041</v>
      </c>
      <c r="R54" s="6" t="s">
        <v>1354</v>
      </c>
      <c r="S54" s="6">
        <v>41</v>
      </c>
      <c r="T54" s="6" t="s">
        <v>1346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4"/>
        <v/>
      </c>
      <c r="L55" s="139" t="str">
        <f t="shared" si="5"/>
        <v/>
      </c>
      <c r="Q55" s="6">
        <v>641990043</v>
      </c>
      <c r="R55" s="6" t="s">
        <v>1875</v>
      </c>
      <c r="S55" s="6">
        <v>43</v>
      </c>
      <c r="T55" s="6" t="s">
        <v>100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4"/>
        <v/>
      </c>
      <c r="L56" s="139" t="str">
        <f t="shared" si="5"/>
        <v/>
      </c>
      <c r="Q56" s="6">
        <v>642510031</v>
      </c>
      <c r="R56" s="6" t="s">
        <v>234</v>
      </c>
      <c r="S56" s="6">
        <v>31</v>
      </c>
      <c r="T56" s="6" t="s">
        <v>95</v>
      </c>
      <c r="U56">
        <v>642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4"/>
        <v/>
      </c>
      <c r="L57" s="139" t="str">
        <f t="shared" si="5"/>
        <v/>
      </c>
      <c r="Q57" s="6">
        <v>642990031</v>
      </c>
      <c r="R57" s="6" t="s">
        <v>235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4"/>
        <v/>
      </c>
      <c r="L58" s="139" t="str">
        <f t="shared" si="5"/>
        <v/>
      </c>
      <c r="Q58" s="6">
        <v>65148</v>
      </c>
      <c r="R58" s="6" t="s">
        <v>22</v>
      </c>
      <c r="S58" s="6">
        <v>43</v>
      </c>
      <c r="T58" s="6" t="s">
        <v>100</v>
      </c>
      <c r="U58">
        <v>651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4"/>
        <v/>
      </c>
      <c r="L59" s="139" t="str">
        <f t="shared" si="5"/>
        <v/>
      </c>
      <c r="Q59" s="6">
        <v>65218</v>
      </c>
      <c r="R59" s="6" t="s">
        <v>1876</v>
      </c>
      <c r="S59" s="6">
        <v>43</v>
      </c>
      <c r="T59" s="6" t="s">
        <v>100</v>
      </c>
      <c r="U59">
        <v>652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4"/>
        <v/>
      </c>
      <c r="L60" s="139" t="str">
        <f t="shared" si="5"/>
        <v/>
      </c>
      <c r="Q60" s="6">
        <v>65264</v>
      </c>
      <c r="R60" s="6" t="s">
        <v>237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4"/>
        <v/>
      </c>
      <c r="L61" s="139" t="str">
        <f t="shared" si="5"/>
        <v/>
      </c>
      <c r="Q61" s="6">
        <v>652670043</v>
      </c>
      <c r="R61" s="6" t="s">
        <v>238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4"/>
        <v/>
      </c>
      <c r="L62" s="139" t="str">
        <f t="shared" si="5"/>
        <v/>
      </c>
      <c r="Q62" s="6">
        <v>652670071</v>
      </c>
      <c r="R62" s="6" t="s">
        <v>1984</v>
      </c>
      <c r="S62" s="6">
        <v>71</v>
      </c>
      <c r="T62" s="6" t="s">
        <v>177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4"/>
        <v/>
      </c>
      <c r="L63" s="139" t="str">
        <f t="shared" si="5"/>
        <v/>
      </c>
      <c r="Q63" s="6">
        <v>65268</v>
      </c>
      <c r="R63" s="6" t="s">
        <v>1877</v>
      </c>
      <c r="S63" s="6">
        <v>43</v>
      </c>
      <c r="T63" s="6" t="s">
        <v>100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4"/>
        <v/>
      </c>
      <c r="L64" s="139" t="str">
        <f t="shared" si="5"/>
        <v/>
      </c>
      <c r="Q64" s="6">
        <v>6614</v>
      </c>
      <c r="R64" s="6" t="s">
        <v>1899</v>
      </c>
      <c r="S64" s="6">
        <v>31</v>
      </c>
      <c r="T64" s="6" t="s">
        <v>95</v>
      </c>
      <c r="U64">
        <v>661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4"/>
        <v/>
      </c>
      <c r="L65" s="139" t="str">
        <f t="shared" si="5"/>
        <v/>
      </c>
      <c r="Q65" s="6">
        <v>6615</v>
      </c>
      <c r="R65" s="6" t="s">
        <v>21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4"/>
        <v/>
      </c>
      <c r="L66" s="139" t="str">
        <f t="shared" si="5"/>
        <v/>
      </c>
      <c r="Q66" s="6">
        <v>663110000</v>
      </c>
      <c r="R66" s="6" t="s">
        <v>35</v>
      </c>
      <c r="S66" s="6">
        <v>61</v>
      </c>
      <c r="T66" s="6" t="s">
        <v>1878</v>
      </c>
      <c r="U66">
        <v>663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ref="C67:C130" si="6">IFERROR(VLOOKUP(E67,$Q$6:$T$104,3,FALSE),"")</f>
        <v/>
      </c>
      <c r="D67" s="136" t="str">
        <f t="shared" ref="D67:D130" si="7">IFERROR(VLOOKUP(E67,$Q$6:$T$104,4,FALSE),"")</f>
        <v/>
      </c>
      <c r="E67" s="148"/>
      <c r="F67" s="188" t="str">
        <f t="shared" ref="F67:F130" si="8">IFERROR(VLOOKUP(E67,$Q$6:$T$104,2,FALSE),"")</f>
        <v/>
      </c>
      <c r="G67" s="182"/>
      <c r="H67" s="182"/>
      <c r="I67" s="182"/>
      <c r="K67" s="139" t="str">
        <f t="shared" ref="K67:K130" si="9">LEFT(E67,3)</f>
        <v/>
      </c>
      <c r="L67" s="139" t="str">
        <f t="shared" ref="L67:L130" si="10">LEFT(E67,2)</f>
        <v/>
      </c>
      <c r="Q67" s="6">
        <v>663120000</v>
      </c>
      <c r="R67" s="6" t="s">
        <v>36</v>
      </c>
      <c r="S67" s="6">
        <v>61</v>
      </c>
      <c r="T67" s="6" t="s">
        <v>1878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si="6"/>
        <v/>
      </c>
      <c r="D68" s="136" t="str">
        <f t="shared" si="7"/>
        <v/>
      </c>
      <c r="E68" s="148"/>
      <c r="F68" s="188" t="str">
        <f t="shared" si="8"/>
        <v/>
      </c>
      <c r="G68" s="182"/>
      <c r="H68" s="182"/>
      <c r="I68" s="182"/>
      <c r="K68" s="139" t="str">
        <f t="shared" si="9"/>
        <v/>
      </c>
      <c r="L68" s="139" t="str">
        <f t="shared" si="10"/>
        <v/>
      </c>
      <c r="Q68" s="6">
        <v>663130000</v>
      </c>
      <c r="R68" s="6" t="s">
        <v>37</v>
      </c>
      <c r="S68" s="6">
        <v>61</v>
      </c>
      <c r="T68" s="6" t="s">
        <v>1878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6"/>
        <v/>
      </c>
      <c r="D69" s="136" t="str">
        <f t="shared" si="7"/>
        <v/>
      </c>
      <c r="E69" s="148"/>
      <c r="F69" s="188" t="str">
        <f t="shared" si="8"/>
        <v/>
      </c>
      <c r="G69" s="182"/>
      <c r="H69" s="182"/>
      <c r="I69" s="182"/>
      <c r="K69" s="139" t="str">
        <f t="shared" si="9"/>
        <v/>
      </c>
      <c r="L69" s="139" t="str">
        <f t="shared" si="10"/>
        <v/>
      </c>
      <c r="Q69" s="6">
        <v>663140000</v>
      </c>
      <c r="R69" s="6" t="s">
        <v>1879</v>
      </c>
      <c r="S69" s="6">
        <v>61</v>
      </c>
      <c r="T69" s="6" t="s">
        <v>1878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6"/>
        <v/>
      </c>
      <c r="D70" s="136" t="str">
        <f t="shared" si="7"/>
        <v/>
      </c>
      <c r="E70" s="148"/>
      <c r="F70" s="188" t="str">
        <f t="shared" si="8"/>
        <v/>
      </c>
      <c r="G70" s="182"/>
      <c r="H70" s="182"/>
      <c r="I70" s="182"/>
      <c r="K70" s="139" t="str">
        <f t="shared" si="9"/>
        <v/>
      </c>
      <c r="L70" s="139" t="str">
        <f t="shared" si="10"/>
        <v/>
      </c>
      <c r="Q70" s="6">
        <v>663210000</v>
      </c>
      <c r="R70" s="6" t="s">
        <v>1880</v>
      </c>
      <c r="S70" s="6">
        <v>61</v>
      </c>
      <c r="T70" s="6" t="s">
        <v>1878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6"/>
        <v/>
      </c>
      <c r="D71" s="136" t="str">
        <f t="shared" si="7"/>
        <v/>
      </c>
      <c r="E71" s="148"/>
      <c r="F71" s="188" t="str">
        <f t="shared" si="8"/>
        <v/>
      </c>
      <c r="G71" s="182"/>
      <c r="H71" s="182"/>
      <c r="I71" s="182"/>
      <c r="K71" s="139" t="str">
        <f t="shared" si="9"/>
        <v/>
      </c>
      <c r="L71" s="139" t="str">
        <f t="shared" si="10"/>
        <v/>
      </c>
      <c r="Q71" s="6">
        <v>663220000</v>
      </c>
      <c r="R71" s="6" t="s">
        <v>38</v>
      </c>
      <c r="S71" s="6">
        <v>61</v>
      </c>
      <c r="T71" s="6" t="s">
        <v>1878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6"/>
        <v/>
      </c>
      <c r="D72" s="136" t="str">
        <f t="shared" si="7"/>
        <v/>
      </c>
      <c r="E72" s="148"/>
      <c r="F72" s="188" t="str">
        <f t="shared" si="8"/>
        <v/>
      </c>
      <c r="G72" s="182"/>
      <c r="H72" s="182"/>
      <c r="I72" s="182"/>
      <c r="K72" s="139" t="str">
        <f t="shared" si="9"/>
        <v/>
      </c>
      <c r="L72" s="139" t="str">
        <f t="shared" si="10"/>
        <v/>
      </c>
      <c r="Q72" s="6">
        <v>663230000</v>
      </c>
      <c r="R72" s="6" t="s">
        <v>39</v>
      </c>
      <c r="S72" s="6">
        <v>61</v>
      </c>
      <c r="T72" s="6" t="s">
        <v>1878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6"/>
        <v/>
      </c>
      <c r="D73" s="136" t="str">
        <f t="shared" si="7"/>
        <v/>
      </c>
      <c r="E73" s="148"/>
      <c r="F73" s="188" t="str">
        <f t="shared" si="8"/>
        <v/>
      </c>
      <c r="G73" s="182"/>
      <c r="H73" s="182"/>
      <c r="I73" s="182"/>
      <c r="K73" s="139" t="str">
        <f t="shared" si="9"/>
        <v/>
      </c>
      <c r="L73" s="139" t="str">
        <f t="shared" si="10"/>
        <v/>
      </c>
      <c r="Q73" s="6">
        <v>663240000</v>
      </c>
      <c r="R73" s="6" t="s">
        <v>1881</v>
      </c>
      <c r="S73" s="6">
        <v>61</v>
      </c>
      <c r="T73" s="6" t="s">
        <v>1878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6"/>
        <v/>
      </c>
      <c r="D74" s="136" t="str">
        <f t="shared" si="7"/>
        <v/>
      </c>
      <c r="E74" s="148"/>
      <c r="F74" s="188" t="str">
        <f t="shared" si="8"/>
        <v/>
      </c>
      <c r="G74" s="182"/>
      <c r="H74" s="182"/>
      <c r="I74" s="182"/>
      <c r="K74" s="139" t="str">
        <f t="shared" si="9"/>
        <v/>
      </c>
      <c r="L74" s="139" t="str">
        <f t="shared" si="10"/>
        <v/>
      </c>
      <c r="Q74" s="6">
        <v>681910043</v>
      </c>
      <c r="R74" s="6" t="s">
        <v>239</v>
      </c>
      <c r="S74" s="6">
        <v>43</v>
      </c>
      <c r="T74" s="6" t="s">
        <v>100</v>
      </c>
      <c r="U74">
        <v>681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6"/>
        <v/>
      </c>
      <c r="D75" s="136" t="str">
        <f t="shared" si="7"/>
        <v/>
      </c>
      <c r="E75" s="148"/>
      <c r="F75" s="188" t="str">
        <f t="shared" si="8"/>
        <v/>
      </c>
      <c r="G75" s="182"/>
      <c r="H75" s="182"/>
      <c r="I75" s="182"/>
      <c r="K75" s="139" t="str">
        <f t="shared" si="9"/>
        <v/>
      </c>
      <c r="L75" s="139" t="str">
        <f t="shared" si="10"/>
        <v/>
      </c>
      <c r="Q75" s="6">
        <v>683110031</v>
      </c>
      <c r="R75" s="6" t="s">
        <v>1882</v>
      </c>
      <c r="S75" s="6">
        <v>31</v>
      </c>
      <c r="T75" s="6" t="s">
        <v>95</v>
      </c>
      <c r="U75">
        <v>683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6"/>
        <v/>
      </c>
      <c r="D76" s="136" t="str">
        <f t="shared" si="7"/>
        <v/>
      </c>
      <c r="E76" s="148"/>
      <c r="F76" s="188" t="str">
        <f t="shared" si="8"/>
        <v/>
      </c>
      <c r="G76" s="182"/>
      <c r="H76" s="182"/>
      <c r="I76" s="182"/>
      <c r="K76" s="139" t="str">
        <f t="shared" si="9"/>
        <v/>
      </c>
      <c r="L76" s="139" t="str">
        <f t="shared" si="10"/>
        <v/>
      </c>
      <c r="Q76" s="6">
        <v>683110043</v>
      </c>
      <c r="R76" s="6" t="s">
        <v>240</v>
      </c>
      <c r="S76" s="6">
        <v>43</v>
      </c>
      <c r="T76" s="6" t="s">
        <v>100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6"/>
        <v/>
      </c>
      <c r="D77" s="136" t="str">
        <f t="shared" si="7"/>
        <v/>
      </c>
      <c r="E77" s="148"/>
      <c r="F77" s="188" t="str">
        <f t="shared" si="8"/>
        <v/>
      </c>
      <c r="G77" s="182"/>
      <c r="H77" s="182"/>
      <c r="I77" s="182"/>
      <c r="K77" s="139" t="str">
        <f t="shared" si="9"/>
        <v/>
      </c>
      <c r="L77" s="139" t="str">
        <f t="shared" si="10"/>
        <v/>
      </c>
      <c r="Q77" s="6">
        <v>711110071</v>
      </c>
      <c r="R77" s="6" t="s">
        <v>1883</v>
      </c>
      <c r="S77" s="6">
        <v>71</v>
      </c>
      <c r="T77" s="6" t="s">
        <v>1884</v>
      </c>
      <c r="U77">
        <v>711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6"/>
        <v/>
      </c>
      <c r="D78" s="136" t="str">
        <f t="shared" si="7"/>
        <v/>
      </c>
      <c r="E78" s="148"/>
      <c r="F78" s="188" t="str">
        <f t="shared" si="8"/>
        <v/>
      </c>
      <c r="G78" s="182"/>
      <c r="H78" s="182"/>
      <c r="I78" s="182"/>
      <c r="K78" s="139" t="str">
        <f t="shared" si="9"/>
        <v/>
      </c>
      <c r="L78" s="139" t="str">
        <f t="shared" si="10"/>
        <v/>
      </c>
      <c r="Q78" s="6">
        <v>711120071</v>
      </c>
      <c r="R78" s="6" t="s">
        <v>1885</v>
      </c>
      <c r="S78" s="6">
        <v>71</v>
      </c>
      <c r="T78" s="6" t="s">
        <v>1884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6"/>
        <v/>
      </c>
      <c r="D79" s="136" t="str">
        <f t="shared" si="7"/>
        <v/>
      </c>
      <c r="E79" s="148"/>
      <c r="F79" s="188" t="str">
        <f t="shared" si="8"/>
        <v/>
      </c>
      <c r="G79" s="182"/>
      <c r="H79" s="182"/>
      <c r="I79" s="182"/>
      <c r="K79" s="139" t="str">
        <f t="shared" si="9"/>
        <v/>
      </c>
      <c r="L79" s="139" t="str">
        <f t="shared" si="10"/>
        <v/>
      </c>
      <c r="Q79" s="6">
        <v>712410071</v>
      </c>
      <c r="R79" s="6" t="s">
        <v>242</v>
      </c>
      <c r="S79" s="6">
        <v>71</v>
      </c>
      <c r="T79" s="6" t="s">
        <v>1884</v>
      </c>
      <c r="U79">
        <v>712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6"/>
        <v/>
      </c>
      <c r="D80" s="136" t="str">
        <f t="shared" si="7"/>
        <v/>
      </c>
      <c r="E80" s="148"/>
      <c r="F80" s="188" t="str">
        <f t="shared" si="8"/>
        <v/>
      </c>
      <c r="G80" s="182"/>
      <c r="H80" s="182"/>
      <c r="I80" s="182"/>
      <c r="K80" s="139" t="str">
        <f t="shared" si="9"/>
        <v/>
      </c>
      <c r="L80" s="139" t="str">
        <f t="shared" si="10"/>
        <v/>
      </c>
      <c r="Q80" s="6">
        <v>712490071</v>
      </c>
      <c r="R80" s="6" t="s">
        <v>243</v>
      </c>
      <c r="S80" s="6">
        <v>71</v>
      </c>
      <c r="T80" s="6" t="s">
        <v>1884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6"/>
        <v/>
      </c>
      <c r="D81" s="136" t="str">
        <f t="shared" si="7"/>
        <v/>
      </c>
      <c r="E81" s="148"/>
      <c r="F81" s="188" t="str">
        <f t="shared" si="8"/>
        <v/>
      </c>
      <c r="G81" s="182"/>
      <c r="H81" s="182"/>
      <c r="I81" s="182"/>
      <c r="K81" s="139" t="str">
        <f t="shared" si="9"/>
        <v/>
      </c>
      <c r="L81" s="139" t="str">
        <f t="shared" si="10"/>
        <v/>
      </c>
      <c r="Q81" s="6">
        <v>721110071</v>
      </c>
      <c r="R81" s="6" t="s">
        <v>244</v>
      </c>
      <c r="S81" s="6">
        <v>71</v>
      </c>
      <c r="T81" s="6" t="s">
        <v>1884</v>
      </c>
      <c r="U81">
        <v>721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6"/>
        <v/>
      </c>
      <c r="D82" s="136" t="str">
        <f t="shared" si="7"/>
        <v/>
      </c>
      <c r="E82" s="148"/>
      <c r="F82" s="188" t="str">
        <f t="shared" si="8"/>
        <v/>
      </c>
      <c r="G82" s="182"/>
      <c r="H82" s="182"/>
      <c r="I82" s="182"/>
      <c r="K82" s="139" t="str">
        <f t="shared" si="9"/>
        <v/>
      </c>
      <c r="L82" s="139" t="str">
        <f t="shared" si="10"/>
        <v/>
      </c>
      <c r="Q82" s="6">
        <v>721190071</v>
      </c>
      <c r="R82" s="6" t="s">
        <v>245</v>
      </c>
      <c r="S82" s="6">
        <v>71</v>
      </c>
      <c r="T82" s="6" t="s">
        <v>1884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6"/>
        <v/>
      </c>
      <c r="D83" s="136" t="str">
        <f t="shared" si="7"/>
        <v/>
      </c>
      <c r="E83" s="148"/>
      <c r="F83" s="188" t="str">
        <f t="shared" si="8"/>
        <v/>
      </c>
      <c r="G83" s="182"/>
      <c r="H83" s="182"/>
      <c r="I83" s="182"/>
      <c r="K83" s="139" t="str">
        <f t="shared" si="9"/>
        <v/>
      </c>
      <c r="L83" s="139" t="str">
        <f t="shared" si="10"/>
        <v/>
      </c>
      <c r="Q83" s="6">
        <v>721230071</v>
      </c>
      <c r="R83" s="6" t="s">
        <v>246</v>
      </c>
      <c r="S83" s="6">
        <v>71</v>
      </c>
      <c r="T83" s="6" t="s">
        <v>1884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6"/>
        <v/>
      </c>
      <c r="D84" s="136" t="str">
        <f t="shared" si="7"/>
        <v/>
      </c>
      <c r="E84" s="148"/>
      <c r="F84" s="188" t="str">
        <f t="shared" si="8"/>
        <v/>
      </c>
      <c r="G84" s="182"/>
      <c r="H84" s="182"/>
      <c r="I84" s="182"/>
      <c r="K84" s="139" t="str">
        <f t="shared" si="9"/>
        <v/>
      </c>
      <c r="L84" s="139" t="str">
        <f t="shared" si="10"/>
        <v/>
      </c>
      <c r="Q84" s="6">
        <v>721290071</v>
      </c>
      <c r="R84" s="6" t="s">
        <v>247</v>
      </c>
      <c r="S84" s="6">
        <v>71</v>
      </c>
      <c r="T84" s="6" t="s">
        <v>1884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6"/>
        <v/>
      </c>
      <c r="D85" s="136" t="str">
        <f t="shared" si="7"/>
        <v/>
      </c>
      <c r="E85" s="148"/>
      <c r="F85" s="188" t="str">
        <f t="shared" si="8"/>
        <v/>
      </c>
      <c r="G85" s="182"/>
      <c r="H85" s="182"/>
      <c r="I85" s="182"/>
      <c r="K85" s="139" t="str">
        <f t="shared" si="9"/>
        <v/>
      </c>
      <c r="L85" s="139" t="str">
        <f t="shared" si="10"/>
        <v/>
      </c>
      <c r="Q85" s="6">
        <v>722110071</v>
      </c>
      <c r="R85" s="6" t="s">
        <v>248</v>
      </c>
      <c r="S85" s="6">
        <v>71</v>
      </c>
      <c r="T85" s="6" t="s">
        <v>1884</v>
      </c>
      <c r="U85">
        <v>722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6"/>
        <v/>
      </c>
      <c r="D86" s="136" t="str">
        <f t="shared" si="7"/>
        <v/>
      </c>
      <c r="E86" s="148"/>
      <c r="F86" s="188" t="str">
        <f t="shared" si="8"/>
        <v/>
      </c>
      <c r="G86" s="182"/>
      <c r="H86" s="182"/>
      <c r="I86" s="182"/>
      <c r="K86" s="139" t="str">
        <f t="shared" si="9"/>
        <v/>
      </c>
      <c r="L86" s="139" t="str">
        <f t="shared" si="10"/>
        <v/>
      </c>
      <c r="Q86" s="6">
        <v>722120071</v>
      </c>
      <c r="R86" s="6" t="s">
        <v>1886</v>
      </c>
      <c r="S86" s="6">
        <v>71</v>
      </c>
      <c r="T86" s="6" t="s">
        <v>1884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6"/>
        <v/>
      </c>
      <c r="D87" s="136" t="str">
        <f t="shared" si="7"/>
        <v/>
      </c>
      <c r="E87" s="148"/>
      <c r="F87" s="188" t="str">
        <f t="shared" si="8"/>
        <v/>
      </c>
      <c r="G87" s="182"/>
      <c r="H87" s="182"/>
      <c r="I87" s="182"/>
      <c r="K87" s="139" t="str">
        <f t="shared" si="9"/>
        <v/>
      </c>
      <c r="L87" s="139" t="str">
        <f t="shared" si="10"/>
        <v/>
      </c>
      <c r="Q87" s="6">
        <v>722190071</v>
      </c>
      <c r="R87" s="6" t="s">
        <v>249</v>
      </c>
      <c r="S87" s="6">
        <v>71</v>
      </c>
      <c r="T87" s="6" t="s">
        <v>1884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6"/>
        <v/>
      </c>
      <c r="D88" s="136" t="str">
        <f t="shared" si="7"/>
        <v/>
      </c>
      <c r="E88" s="148"/>
      <c r="F88" s="188" t="str">
        <f t="shared" si="8"/>
        <v/>
      </c>
      <c r="G88" s="182"/>
      <c r="H88" s="182"/>
      <c r="I88" s="182"/>
      <c r="K88" s="139" t="str">
        <f t="shared" si="9"/>
        <v/>
      </c>
      <c r="L88" s="139" t="str">
        <f t="shared" si="10"/>
        <v/>
      </c>
      <c r="Q88" s="6">
        <v>722620071</v>
      </c>
      <c r="R88" s="6" t="s">
        <v>250</v>
      </c>
      <c r="S88" s="6">
        <v>71</v>
      </c>
      <c r="T88" s="6" t="s">
        <v>1884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6"/>
        <v/>
      </c>
      <c r="D89" s="136" t="str">
        <f t="shared" si="7"/>
        <v/>
      </c>
      <c r="E89" s="148"/>
      <c r="F89" s="188" t="str">
        <f t="shared" si="8"/>
        <v/>
      </c>
      <c r="G89" s="182"/>
      <c r="H89" s="182"/>
      <c r="I89" s="182"/>
      <c r="K89" s="139" t="str">
        <f t="shared" si="9"/>
        <v/>
      </c>
      <c r="L89" s="139" t="str">
        <f t="shared" si="10"/>
        <v/>
      </c>
      <c r="Q89" s="6">
        <v>722720071</v>
      </c>
      <c r="R89" s="6" t="s">
        <v>1985</v>
      </c>
      <c r="S89" s="6">
        <v>71</v>
      </c>
      <c r="T89" s="6" t="s">
        <v>177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6"/>
        <v/>
      </c>
      <c r="D90" s="136" t="str">
        <f t="shared" si="7"/>
        <v/>
      </c>
      <c r="E90" s="148"/>
      <c r="F90" s="188" t="str">
        <f t="shared" si="8"/>
        <v/>
      </c>
      <c r="G90" s="182"/>
      <c r="H90" s="182"/>
      <c r="I90" s="182"/>
      <c r="K90" s="139" t="str">
        <f t="shared" si="9"/>
        <v/>
      </c>
      <c r="L90" s="139" t="str">
        <f t="shared" si="10"/>
        <v/>
      </c>
      <c r="Q90" s="6">
        <v>722730071</v>
      </c>
      <c r="R90" s="6" t="s">
        <v>251</v>
      </c>
      <c r="S90" s="6">
        <v>71</v>
      </c>
      <c r="T90" s="6" t="s">
        <v>1884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6"/>
        <v/>
      </c>
      <c r="D91" s="136" t="str">
        <f t="shared" si="7"/>
        <v/>
      </c>
      <c r="E91" s="148"/>
      <c r="F91" s="188" t="str">
        <f t="shared" si="8"/>
        <v/>
      </c>
      <c r="G91" s="182"/>
      <c r="H91" s="182"/>
      <c r="I91" s="182"/>
      <c r="K91" s="139" t="str">
        <f t="shared" si="9"/>
        <v/>
      </c>
      <c r="L91" s="139" t="str">
        <f t="shared" si="10"/>
        <v/>
      </c>
      <c r="Q91" s="6">
        <v>723110071</v>
      </c>
      <c r="R91" s="6" t="s">
        <v>252</v>
      </c>
      <c r="S91" s="6">
        <v>71</v>
      </c>
      <c r="T91" s="6" t="s">
        <v>1884</v>
      </c>
      <c r="U91">
        <v>723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6"/>
        <v/>
      </c>
      <c r="D92" s="136" t="str">
        <f t="shared" si="7"/>
        <v/>
      </c>
      <c r="E92" s="148"/>
      <c r="F92" s="188" t="str">
        <f t="shared" si="8"/>
        <v/>
      </c>
      <c r="G92" s="182"/>
      <c r="H92" s="182"/>
      <c r="I92" s="182"/>
      <c r="K92" s="139" t="str">
        <f t="shared" si="9"/>
        <v/>
      </c>
      <c r="L92" s="139" t="str">
        <f t="shared" si="10"/>
        <v/>
      </c>
      <c r="Q92" s="6">
        <v>723130071</v>
      </c>
      <c r="R92" s="6" t="s">
        <v>1887</v>
      </c>
      <c r="S92" s="6">
        <v>71</v>
      </c>
      <c r="T92" s="6" t="s">
        <v>1884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6"/>
        <v/>
      </c>
      <c r="D93" s="136" t="str">
        <f t="shared" si="7"/>
        <v/>
      </c>
      <c r="E93" s="148"/>
      <c r="F93" s="188" t="str">
        <f t="shared" si="8"/>
        <v/>
      </c>
      <c r="G93" s="182"/>
      <c r="H93" s="182"/>
      <c r="I93" s="182"/>
      <c r="K93" s="139" t="str">
        <f t="shared" si="9"/>
        <v/>
      </c>
      <c r="L93" s="139" t="str">
        <f t="shared" si="10"/>
        <v/>
      </c>
      <c r="Q93" s="6">
        <v>723140071</v>
      </c>
      <c r="R93" s="6" t="s">
        <v>1888</v>
      </c>
      <c r="S93" s="6">
        <v>71</v>
      </c>
      <c r="T93" s="6" t="s">
        <v>1884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6"/>
        <v/>
      </c>
      <c r="D94" s="136" t="str">
        <f t="shared" si="7"/>
        <v/>
      </c>
      <c r="E94" s="148"/>
      <c r="F94" s="188" t="str">
        <f t="shared" si="8"/>
        <v/>
      </c>
      <c r="G94" s="182"/>
      <c r="H94" s="182"/>
      <c r="I94" s="182"/>
      <c r="K94" s="139" t="str">
        <f t="shared" si="9"/>
        <v/>
      </c>
      <c r="L94" s="139" t="str">
        <f t="shared" si="10"/>
        <v/>
      </c>
      <c r="Q94" s="6">
        <v>723150071</v>
      </c>
      <c r="R94" s="6" t="s">
        <v>1889</v>
      </c>
      <c r="S94" s="6">
        <v>71</v>
      </c>
      <c r="T94" s="6" t="s">
        <v>1884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6"/>
        <v/>
      </c>
      <c r="D95" s="136" t="str">
        <f t="shared" si="7"/>
        <v/>
      </c>
      <c r="E95" s="148"/>
      <c r="F95" s="188" t="str">
        <f t="shared" si="8"/>
        <v/>
      </c>
      <c r="G95" s="182"/>
      <c r="H95" s="182"/>
      <c r="I95" s="182"/>
      <c r="K95" s="139" t="str">
        <f t="shared" si="9"/>
        <v/>
      </c>
      <c r="L95" s="139" t="str">
        <f t="shared" si="10"/>
        <v/>
      </c>
      <c r="Q95" s="6">
        <v>723160071</v>
      </c>
      <c r="R95" s="6" t="s">
        <v>1890</v>
      </c>
      <c r="S95" s="6">
        <v>71</v>
      </c>
      <c r="T95" s="6" t="s">
        <v>1884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6"/>
        <v/>
      </c>
      <c r="D96" s="136" t="str">
        <f t="shared" si="7"/>
        <v/>
      </c>
      <c r="E96" s="148"/>
      <c r="F96" s="188" t="str">
        <f t="shared" si="8"/>
        <v/>
      </c>
      <c r="G96" s="182"/>
      <c r="H96" s="182"/>
      <c r="I96" s="182"/>
      <c r="K96" s="139" t="str">
        <f t="shared" si="9"/>
        <v/>
      </c>
      <c r="L96" s="139" t="str">
        <f t="shared" si="10"/>
        <v/>
      </c>
      <c r="Q96" s="6">
        <v>723190071</v>
      </c>
      <c r="R96" s="6" t="s">
        <v>1986</v>
      </c>
      <c r="S96" s="6">
        <v>71</v>
      </c>
      <c r="T96" s="6" t="s">
        <v>177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6"/>
        <v/>
      </c>
      <c r="D97" s="136" t="str">
        <f t="shared" si="7"/>
        <v/>
      </c>
      <c r="E97" s="148"/>
      <c r="F97" s="188" t="str">
        <f t="shared" si="8"/>
        <v/>
      </c>
      <c r="G97" s="182"/>
      <c r="H97" s="182"/>
      <c r="I97" s="182"/>
      <c r="K97" s="139" t="str">
        <f t="shared" si="9"/>
        <v/>
      </c>
      <c r="L97" s="139" t="str">
        <f t="shared" si="10"/>
        <v/>
      </c>
      <c r="Q97" s="6">
        <v>723310071</v>
      </c>
      <c r="R97" s="6" t="s">
        <v>1891</v>
      </c>
      <c r="S97" s="6">
        <v>71</v>
      </c>
      <c r="T97" s="6" t="s">
        <v>1884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6"/>
        <v/>
      </c>
      <c r="D98" s="136" t="str">
        <f t="shared" si="7"/>
        <v/>
      </c>
      <c r="E98" s="148"/>
      <c r="F98" s="188" t="str">
        <f t="shared" si="8"/>
        <v/>
      </c>
      <c r="G98" s="182"/>
      <c r="H98" s="182"/>
      <c r="I98" s="182"/>
      <c r="K98" s="139" t="str">
        <f t="shared" si="9"/>
        <v/>
      </c>
      <c r="L98" s="139" t="str">
        <f t="shared" si="10"/>
        <v/>
      </c>
      <c r="Q98" s="6">
        <v>725210071</v>
      </c>
      <c r="R98" s="6" t="s">
        <v>253</v>
      </c>
      <c r="S98" s="6">
        <v>71</v>
      </c>
      <c r="T98" s="6" t="s">
        <v>1884</v>
      </c>
      <c r="U98">
        <v>725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6"/>
        <v/>
      </c>
      <c r="D99" s="136" t="str">
        <f t="shared" si="7"/>
        <v/>
      </c>
      <c r="E99" s="148"/>
      <c r="F99" s="188" t="str">
        <f t="shared" si="8"/>
        <v/>
      </c>
      <c r="G99" s="182"/>
      <c r="H99" s="182"/>
      <c r="I99" s="182"/>
      <c r="K99" s="139" t="str">
        <f t="shared" si="9"/>
        <v/>
      </c>
      <c r="L99" s="139" t="str">
        <f t="shared" si="10"/>
        <v/>
      </c>
      <c r="Q99" s="6">
        <v>818110043</v>
      </c>
      <c r="R99" s="6" t="s">
        <v>1987</v>
      </c>
      <c r="S99" s="6">
        <v>43</v>
      </c>
      <c r="T99" s="6" t="s">
        <v>100</v>
      </c>
      <c r="U99">
        <v>818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6"/>
        <v/>
      </c>
      <c r="D100" s="136" t="str">
        <f t="shared" si="7"/>
        <v/>
      </c>
      <c r="E100" s="148"/>
      <c r="F100" s="188" t="str">
        <f t="shared" si="8"/>
        <v/>
      </c>
      <c r="G100" s="182"/>
      <c r="H100" s="182"/>
      <c r="I100" s="182"/>
      <c r="K100" s="139" t="str">
        <f t="shared" si="9"/>
        <v/>
      </c>
      <c r="L100" s="139" t="str">
        <f t="shared" si="10"/>
        <v/>
      </c>
      <c r="Q100" s="6">
        <v>818120043</v>
      </c>
      <c r="R100" s="6" t="s">
        <v>1365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6"/>
        <v/>
      </c>
      <c r="D101" s="136" t="str">
        <f t="shared" si="7"/>
        <v/>
      </c>
      <c r="E101" s="148"/>
      <c r="F101" s="188" t="str">
        <f t="shared" si="8"/>
        <v/>
      </c>
      <c r="G101" s="182"/>
      <c r="H101" s="182"/>
      <c r="I101" s="182"/>
      <c r="K101" s="139" t="str">
        <f t="shared" si="9"/>
        <v/>
      </c>
      <c r="L101" s="139" t="str">
        <f t="shared" si="10"/>
        <v/>
      </c>
      <c r="Q101" s="6">
        <v>832120043</v>
      </c>
      <c r="R101" s="6" t="s">
        <v>1366</v>
      </c>
      <c r="S101" s="6">
        <v>43</v>
      </c>
      <c r="T101" s="6" t="s">
        <v>100</v>
      </c>
      <c r="U101">
        <v>832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6"/>
        <v/>
      </c>
      <c r="D102" s="136" t="str">
        <f t="shared" si="7"/>
        <v/>
      </c>
      <c r="E102" s="148"/>
      <c r="F102" s="188" t="str">
        <f t="shared" si="8"/>
        <v/>
      </c>
      <c r="G102" s="182"/>
      <c r="H102" s="182"/>
      <c r="I102" s="182"/>
      <c r="K102" s="139" t="str">
        <f t="shared" si="9"/>
        <v/>
      </c>
      <c r="L102" s="139" t="str">
        <f t="shared" si="10"/>
        <v/>
      </c>
      <c r="Q102" s="6">
        <v>833130043</v>
      </c>
      <c r="R102" s="6" t="s">
        <v>1893</v>
      </c>
      <c r="S102" s="6">
        <v>43</v>
      </c>
      <c r="T102" s="6" t="s">
        <v>100</v>
      </c>
      <c r="U102">
        <v>833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6"/>
        <v/>
      </c>
      <c r="D103" s="136" t="str">
        <f t="shared" si="7"/>
        <v/>
      </c>
      <c r="E103" s="148"/>
      <c r="F103" s="188" t="str">
        <f t="shared" si="8"/>
        <v/>
      </c>
      <c r="G103" s="182"/>
      <c r="H103" s="182"/>
      <c r="I103" s="182"/>
      <c r="K103" s="139" t="str">
        <f t="shared" si="9"/>
        <v/>
      </c>
      <c r="L103" s="139" t="str">
        <f t="shared" si="10"/>
        <v/>
      </c>
      <c r="Q103" s="6">
        <v>841320000</v>
      </c>
      <c r="R103" s="6" t="s">
        <v>1983</v>
      </c>
      <c r="S103" s="6">
        <v>81</v>
      </c>
      <c r="T103" s="6" t="s">
        <v>1892</v>
      </c>
      <c r="U103">
        <v>841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6"/>
        <v/>
      </c>
      <c r="D104" s="136" t="str">
        <f t="shared" si="7"/>
        <v/>
      </c>
      <c r="E104" s="148"/>
      <c r="F104" s="188" t="str">
        <f t="shared" si="8"/>
        <v/>
      </c>
      <c r="G104" s="182"/>
      <c r="H104" s="182"/>
      <c r="I104" s="182"/>
      <c r="K104" s="139" t="str">
        <f t="shared" si="9"/>
        <v/>
      </c>
      <c r="L104" s="139" t="str">
        <f t="shared" si="10"/>
        <v/>
      </c>
      <c r="Q104" s="6">
        <v>842220081</v>
      </c>
      <c r="R104" s="6" t="s">
        <v>1894</v>
      </c>
      <c r="S104" s="6">
        <v>81</v>
      </c>
      <c r="T104" s="6" t="s">
        <v>1892</v>
      </c>
      <c r="U104">
        <v>842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6"/>
        <v/>
      </c>
      <c r="D105" s="136" t="str">
        <f t="shared" si="7"/>
        <v/>
      </c>
      <c r="E105" s="148"/>
      <c r="F105" s="188" t="str">
        <f t="shared" si="8"/>
        <v/>
      </c>
      <c r="G105" s="182"/>
      <c r="H105" s="182"/>
      <c r="I105" s="182"/>
      <c r="K105" s="139" t="str">
        <f t="shared" si="9"/>
        <v/>
      </c>
      <c r="L105" s="139" t="str">
        <f t="shared" si="10"/>
        <v/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6"/>
        <v/>
      </c>
      <c r="D106" s="136" t="str">
        <f t="shared" si="7"/>
        <v/>
      </c>
      <c r="E106" s="148"/>
      <c r="F106" s="188" t="str">
        <f t="shared" si="8"/>
        <v/>
      </c>
      <c r="G106" s="182"/>
      <c r="H106" s="182"/>
      <c r="I106" s="182"/>
      <c r="K106" s="139" t="str">
        <f t="shared" si="9"/>
        <v/>
      </c>
      <c r="L106" s="139" t="str">
        <f t="shared" si="10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6"/>
        <v/>
      </c>
      <c r="D107" s="136" t="str">
        <f t="shared" si="7"/>
        <v/>
      </c>
      <c r="E107" s="148"/>
      <c r="F107" s="188" t="str">
        <f t="shared" si="8"/>
        <v/>
      </c>
      <c r="G107" s="182"/>
      <c r="H107" s="182"/>
      <c r="I107" s="182"/>
      <c r="K107" s="139" t="str">
        <f t="shared" si="9"/>
        <v/>
      </c>
      <c r="L107" s="139" t="str">
        <f t="shared" si="10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6"/>
        <v/>
      </c>
      <c r="D108" s="136" t="str">
        <f t="shared" si="7"/>
        <v/>
      </c>
      <c r="E108" s="148"/>
      <c r="F108" s="188" t="str">
        <f t="shared" si="8"/>
        <v/>
      </c>
      <c r="G108" s="182"/>
      <c r="H108" s="182"/>
      <c r="I108" s="182"/>
      <c r="K108" s="139" t="str">
        <f t="shared" si="9"/>
        <v/>
      </c>
      <c r="L108" s="139" t="str">
        <f t="shared" si="10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6"/>
        <v/>
      </c>
      <c r="D109" s="136" t="str">
        <f t="shared" si="7"/>
        <v/>
      </c>
      <c r="E109" s="148"/>
      <c r="F109" s="188" t="str">
        <f t="shared" si="8"/>
        <v/>
      </c>
      <c r="G109" s="182"/>
      <c r="H109" s="182"/>
      <c r="I109" s="182"/>
      <c r="K109" s="139" t="str">
        <f t="shared" si="9"/>
        <v/>
      </c>
      <c r="L109" s="139" t="str">
        <f t="shared" si="10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6"/>
        <v/>
      </c>
      <c r="D110" s="136" t="str">
        <f t="shared" si="7"/>
        <v/>
      </c>
      <c r="E110" s="148"/>
      <c r="F110" s="188" t="str">
        <f t="shared" si="8"/>
        <v/>
      </c>
      <c r="G110" s="182"/>
      <c r="H110" s="182"/>
      <c r="I110" s="182"/>
      <c r="K110" s="139" t="str">
        <f t="shared" si="9"/>
        <v/>
      </c>
      <c r="L110" s="139" t="str">
        <f t="shared" si="10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6"/>
        <v/>
      </c>
      <c r="D111" s="136" t="str">
        <f t="shared" si="7"/>
        <v/>
      </c>
      <c r="E111" s="148"/>
      <c r="F111" s="188" t="str">
        <f t="shared" si="8"/>
        <v/>
      </c>
      <c r="G111" s="182"/>
      <c r="H111" s="182"/>
      <c r="I111" s="182"/>
      <c r="K111" s="139" t="str">
        <f t="shared" si="9"/>
        <v/>
      </c>
      <c r="L111" s="139" t="str">
        <f t="shared" si="10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6"/>
        <v/>
      </c>
      <c r="D112" s="136" t="str">
        <f t="shared" si="7"/>
        <v/>
      </c>
      <c r="E112" s="148"/>
      <c r="F112" s="188" t="str">
        <f t="shared" si="8"/>
        <v/>
      </c>
      <c r="G112" s="182"/>
      <c r="H112" s="182"/>
      <c r="I112" s="182"/>
      <c r="K112" s="139" t="str">
        <f t="shared" si="9"/>
        <v/>
      </c>
      <c r="L112" s="139" t="str">
        <f t="shared" si="10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6"/>
        <v/>
      </c>
      <c r="D113" s="136" t="str">
        <f t="shared" si="7"/>
        <v/>
      </c>
      <c r="E113" s="148"/>
      <c r="F113" s="188" t="str">
        <f t="shared" si="8"/>
        <v/>
      </c>
      <c r="G113" s="182"/>
      <c r="H113" s="182"/>
      <c r="I113" s="182"/>
      <c r="K113" s="139" t="str">
        <f t="shared" si="9"/>
        <v/>
      </c>
      <c r="L113" s="139" t="str">
        <f t="shared" si="10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6"/>
        <v/>
      </c>
      <c r="D114" s="136" t="str">
        <f t="shared" si="7"/>
        <v/>
      </c>
      <c r="E114" s="148"/>
      <c r="F114" s="188" t="str">
        <f t="shared" si="8"/>
        <v/>
      </c>
      <c r="G114" s="182"/>
      <c r="H114" s="182"/>
      <c r="I114" s="182"/>
      <c r="K114" s="139" t="str">
        <f t="shared" si="9"/>
        <v/>
      </c>
      <c r="L114" s="139" t="str">
        <f t="shared" si="10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6"/>
        <v/>
      </c>
      <c r="D115" s="136" t="str">
        <f t="shared" si="7"/>
        <v/>
      </c>
      <c r="E115" s="148"/>
      <c r="F115" s="188" t="str">
        <f t="shared" si="8"/>
        <v/>
      </c>
      <c r="G115" s="182"/>
      <c r="H115" s="182"/>
      <c r="I115" s="182"/>
      <c r="K115" s="139" t="str">
        <f t="shared" si="9"/>
        <v/>
      </c>
      <c r="L115" s="139" t="str">
        <f t="shared" si="10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6"/>
        <v/>
      </c>
      <c r="D116" s="136" t="str">
        <f t="shared" si="7"/>
        <v/>
      </c>
      <c r="E116" s="148"/>
      <c r="F116" s="188" t="str">
        <f t="shared" si="8"/>
        <v/>
      </c>
      <c r="G116" s="182"/>
      <c r="H116" s="182"/>
      <c r="I116" s="182"/>
      <c r="K116" s="139" t="str">
        <f t="shared" si="9"/>
        <v/>
      </c>
      <c r="L116" s="139" t="str">
        <f t="shared" si="10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6"/>
        <v/>
      </c>
      <c r="D117" s="136" t="str">
        <f t="shared" si="7"/>
        <v/>
      </c>
      <c r="E117" s="148"/>
      <c r="F117" s="188" t="str">
        <f t="shared" si="8"/>
        <v/>
      </c>
      <c r="G117" s="182"/>
      <c r="H117" s="182"/>
      <c r="I117" s="182"/>
      <c r="K117" s="139" t="str">
        <f t="shared" si="9"/>
        <v/>
      </c>
      <c r="L117" s="139" t="str">
        <f t="shared" si="10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6"/>
        <v/>
      </c>
      <c r="D118" s="136" t="str">
        <f t="shared" si="7"/>
        <v/>
      </c>
      <c r="E118" s="148"/>
      <c r="F118" s="188" t="str">
        <f t="shared" si="8"/>
        <v/>
      </c>
      <c r="G118" s="182"/>
      <c r="H118" s="182"/>
      <c r="I118" s="182"/>
      <c r="K118" s="139" t="str">
        <f t="shared" si="9"/>
        <v/>
      </c>
      <c r="L118" s="139" t="str">
        <f t="shared" si="10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6"/>
        <v/>
      </c>
      <c r="D119" s="136" t="str">
        <f t="shared" si="7"/>
        <v/>
      </c>
      <c r="E119" s="148"/>
      <c r="F119" s="188" t="str">
        <f t="shared" si="8"/>
        <v/>
      </c>
      <c r="G119" s="182"/>
      <c r="H119" s="182"/>
      <c r="I119" s="182"/>
      <c r="K119" s="139" t="str">
        <f t="shared" si="9"/>
        <v/>
      </c>
      <c r="L119" s="139" t="str">
        <f t="shared" si="10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6"/>
        <v/>
      </c>
      <c r="D120" s="136" t="str">
        <f t="shared" si="7"/>
        <v/>
      </c>
      <c r="E120" s="148"/>
      <c r="F120" s="188" t="str">
        <f t="shared" si="8"/>
        <v/>
      </c>
      <c r="G120" s="182"/>
      <c r="H120" s="182"/>
      <c r="I120" s="182"/>
      <c r="K120" s="139" t="str">
        <f t="shared" si="9"/>
        <v/>
      </c>
      <c r="L120" s="139" t="str">
        <f t="shared" si="10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6"/>
        <v/>
      </c>
      <c r="D121" s="136" t="str">
        <f t="shared" si="7"/>
        <v/>
      </c>
      <c r="E121" s="148"/>
      <c r="F121" s="188" t="str">
        <f t="shared" si="8"/>
        <v/>
      </c>
      <c r="G121" s="182"/>
      <c r="H121" s="182"/>
      <c r="I121" s="182"/>
      <c r="K121" s="139" t="str">
        <f t="shared" si="9"/>
        <v/>
      </c>
      <c r="L121" s="139" t="str">
        <f t="shared" si="10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6"/>
        <v/>
      </c>
      <c r="D122" s="136" t="str">
        <f t="shared" si="7"/>
        <v/>
      </c>
      <c r="E122" s="148"/>
      <c r="F122" s="188" t="str">
        <f t="shared" si="8"/>
        <v/>
      </c>
      <c r="G122" s="182"/>
      <c r="H122" s="182"/>
      <c r="I122" s="182"/>
      <c r="K122" s="139" t="str">
        <f t="shared" si="9"/>
        <v/>
      </c>
      <c r="L122" s="139" t="str">
        <f t="shared" si="10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6"/>
        <v/>
      </c>
      <c r="D123" s="136" t="str">
        <f t="shared" si="7"/>
        <v/>
      </c>
      <c r="E123" s="148"/>
      <c r="F123" s="188" t="str">
        <f t="shared" si="8"/>
        <v/>
      </c>
      <c r="G123" s="182"/>
      <c r="H123" s="182"/>
      <c r="I123" s="182"/>
      <c r="K123" s="139" t="str">
        <f t="shared" si="9"/>
        <v/>
      </c>
      <c r="L123" s="139" t="str">
        <f t="shared" si="10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6"/>
        <v/>
      </c>
      <c r="D124" s="136" t="str">
        <f t="shared" si="7"/>
        <v/>
      </c>
      <c r="E124" s="148"/>
      <c r="F124" s="188" t="str">
        <f t="shared" si="8"/>
        <v/>
      </c>
      <c r="G124" s="182"/>
      <c r="H124" s="182"/>
      <c r="I124" s="182"/>
      <c r="K124" s="139" t="str">
        <f t="shared" si="9"/>
        <v/>
      </c>
      <c r="L124" s="139" t="str">
        <f t="shared" si="10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6"/>
        <v/>
      </c>
      <c r="D125" s="136" t="str">
        <f t="shared" si="7"/>
        <v/>
      </c>
      <c r="E125" s="148"/>
      <c r="F125" s="188" t="str">
        <f t="shared" si="8"/>
        <v/>
      </c>
      <c r="G125" s="182"/>
      <c r="H125" s="182"/>
      <c r="I125" s="182"/>
      <c r="K125" s="139" t="str">
        <f t="shared" si="9"/>
        <v/>
      </c>
      <c r="L125" s="139" t="str">
        <f t="shared" si="10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6"/>
        <v/>
      </c>
      <c r="D126" s="136" t="str">
        <f t="shared" si="7"/>
        <v/>
      </c>
      <c r="E126" s="148"/>
      <c r="F126" s="188" t="str">
        <f t="shared" si="8"/>
        <v/>
      </c>
      <c r="G126" s="182"/>
      <c r="H126" s="182"/>
      <c r="I126" s="182"/>
      <c r="K126" s="139" t="str">
        <f t="shared" si="9"/>
        <v/>
      </c>
      <c r="L126" s="139" t="str">
        <f t="shared" si="10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6"/>
        <v/>
      </c>
      <c r="D127" s="136" t="str">
        <f t="shared" si="7"/>
        <v/>
      </c>
      <c r="E127" s="148"/>
      <c r="F127" s="188" t="str">
        <f t="shared" si="8"/>
        <v/>
      </c>
      <c r="G127" s="182"/>
      <c r="H127" s="182"/>
      <c r="I127" s="182"/>
      <c r="K127" s="139" t="str">
        <f t="shared" si="9"/>
        <v/>
      </c>
      <c r="L127" s="139" t="str">
        <f t="shared" si="10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6"/>
        <v/>
      </c>
      <c r="D128" s="136" t="str">
        <f t="shared" si="7"/>
        <v/>
      </c>
      <c r="E128" s="148"/>
      <c r="F128" s="188" t="str">
        <f t="shared" si="8"/>
        <v/>
      </c>
      <c r="G128" s="182"/>
      <c r="H128" s="182"/>
      <c r="I128" s="182"/>
      <c r="K128" s="139" t="str">
        <f t="shared" si="9"/>
        <v/>
      </c>
      <c r="L128" s="139" t="str">
        <f t="shared" si="10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6"/>
        <v/>
      </c>
      <c r="D129" s="136" t="str">
        <f t="shared" si="7"/>
        <v/>
      </c>
      <c r="E129" s="148"/>
      <c r="F129" s="188" t="str">
        <f t="shared" si="8"/>
        <v/>
      </c>
      <c r="G129" s="182"/>
      <c r="H129" s="182"/>
      <c r="I129" s="182"/>
      <c r="K129" s="139" t="str">
        <f t="shared" si="9"/>
        <v/>
      </c>
      <c r="L129" s="139" t="str">
        <f t="shared" si="10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6"/>
        <v/>
      </c>
      <c r="D130" s="136" t="str">
        <f t="shared" si="7"/>
        <v/>
      </c>
      <c r="E130" s="148"/>
      <c r="F130" s="188" t="str">
        <f t="shared" si="8"/>
        <v/>
      </c>
      <c r="G130" s="182"/>
      <c r="H130" s="182"/>
      <c r="I130" s="182"/>
      <c r="K130" s="139" t="str">
        <f t="shared" si="9"/>
        <v/>
      </c>
      <c r="L130" s="139" t="str">
        <f t="shared" si="10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ref="C131:C194" si="11">IFERROR(VLOOKUP(E131,$Q$6:$T$104,3,FALSE),"")</f>
        <v/>
      </c>
      <c r="D131" s="136" t="str">
        <f t="shared" ref="D131:D194" si="12">IFERROR(VLOOKUP(E131,$Q$6:$T$104,4,FALSE),"")</f>
        <v/>
      </c>
      <c r="E131" s="148"/>
      <c r="F131" s="188" t="str">
        <f t="shared" ref="F131:F194" si="13">IFERROR(VLOOKUP(E131,$Q$6:$T$104,2,FALSE),"")</f>
        <v/>
      </c>
      <c r="G131" s="182"/>
      <c r="H131" s="182"/>
      <c r="I131" s="182"/>
      <c r="K131" s="139" t="str">
        <f t="shared" ref="K131:K194" si="14">LEFT(E131,3)</f>
        <v/>
      </c>
      <c r="L131" s="139" t="str">
        <f t="shared" ref="L131:L194" si="15">LEFT(E131,2)</f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si="11"/>
        <v/>
      </c>
      <c r="D132" s="136" t="str">
        <f t="shared" si="12"/>
        <v/>
      </c>
      <c r="E132" s="148"/>
      <c r="F132" s="188" t="str">
        <f t="shared" si="13"/>
        <v/>
      </c>
      <c r="G132" s="182"/>
      <c r="H132" s="182"/>
      <c r="I132" s="182"/>
      <c r="K132" s="139" t="str">
        <f t="shared" si="14"/>
        <v/>
      </c>
      <c r="L132" s="139" t="str">
        <f t="shared" si="15"/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1"/>
        <v/>
      </c>
      <c r="D133" s="136" t="str">
        <f t="shared" si="12"/>
        <v/>
      </c>
      <c r="E133" s="148"/>
      <c r="F133" s="188" t="str">
        <f t="shared" si="13"/>
        <v/>
      </c>
      <c r="G133" s="182"/>
      <c r="H133" s="182"/>
      <c r="I133" s="182"/>
      <c r="K133" s="139" t="str">
        <f t="shared" si="14"/>
        <v/>
      </c>
      <c r="L133" s="139" t="str">
        <f t="shared" si="15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1"/>
        <v/>
      </c>
      <c r="D134" s="136" t="str">
        <f t="shared" si="12"/>
        <v/>
      </c>
      <c r="E134" s="148"/>
      <c r="F134" s="188" t="str">
        <f t="shared" si="13"/>
        <v/>
      </c>
      <c r="G134" s="182"/>
      <c r="H134" s="182"/>
      <c r="I134" s="182"/>
      <c r="K134" s="139" t="str">
        <f t="shared" si="14"/>
        <v/>
      </c>
      <c r="L134" s="139" t="str">
        <f t="shared" si="15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1"/>
        <v/>
      </c>
      <c r="D135" s="136" t="str">
        <f t="shared" si="12"/>
        <v/>
      </c>
      <c r="E135" s="148"/>
      <c r="F135" s="188" t="str">
        <f t="shared" si="13"/>
        <v/>
      </c>
      <c r="G135" s="182"/>
      <c r="H135" s="182"/>
      <c r="I135" s="182"/>
      <c r="K135" s="139" t="str">
        <f t="shared" si="14"/>
        <v/>
      </c>
      <c r="L135" s="139" t="str">
        <f t="shared" si="15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1"/>
        <v/>
      </c>
      <c r="D136" s="136" t="str">
        <f t="shared" si="12"/>
        <v/>
      </c>
      <c r="E136" s="148"/>
      <c r="F136" s="188" t="str">
        <f t="shared" si="13"/>
        <v/>
      </c>
      <c r="G136" s="182"/>
      <c r="H136" s="182"/>
      <c r="I136" s="182"/>
      <c r="K136" s="139" t="str">
        <f t="shared" si="14"/>
        <v/>
      </c>
      <c r="L136" s="139" t="str">
        <f t="shared" si="15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1"/>
        <v/>
      </c>
      <c r="D137" s="136" t="str">
        <f t="shared" si="12"/>
        <v/>
      </c>
      <c r="E137" s="148"/>
      <c r="F137" s="188" t="str">
        <f t="shared" si="13"/>
        <v/>
      </c>
      <c r="G137" s="182"/>
      <c r="H137" s="182"/>
      <c r="I137" s="182"/>
      <c r="K137" s="139" t="str">
        <f t="shared" si="14"/>
        <v/>
      </c>
      <c r="L137" s="139" t="str">
        <f t="shared" si="15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1"/>
        <v/>
      </c>
      <c r="D138" s="136" t="str">
        <f t="shared" si="12"/>
        <v/>
      </c>
      <c r="E138" s="148"/>
      <c r="F138" s="188" t="str">
        <f t="shared" si="13"/>
        <v/>
      </c>
      <c r="G138" s="182"/>
      <c r="H138" s="182"/>
      <c r="I138" s="182"/>
      <c r="K138" s="139" t="str">
        <f t="shared" si="14"/>
        <v/>
      </c>
      <c r="L138" s="139" t="str">
        <f t="shared" si="15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1"/>
        <v/>
      </c>
      <c r="D139" s="136" t="str">
        <f t="shared" si="12"/>
        <v/>
      </c>
      <c r="E139" s="148"/>
      <c r="F139" s="188" t="str">
        <f t="shared" si="13"/>
        <v/>
      </c>
      <c r="G139" s="182"/>
      <c r="H139" s="182"/>
      <c r="I139" s="182"/>
      <c r="K139" s="139" t="str">
        <f t="shared" si="14"/>
        <v/>
      </c>
      <c r="L139" s="139" t="str">
        <f t="shared" si="15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1"/>
        <v/>
      </c>
      <c r="D140" s="136" t="str">
        <f t="shared" si="12"/>
        <v/>
      </c>
      <c r="E140" s="148"/>
      <c r="F140" s="188" t="str">
        <f t="shared" si="13"/>
        <v/>
      </c>
      <c r="G140" s="182"/>
      <c r="H140" s="182"/>
      <c r="I140" s="182"/>
      <c r="K140" s="139" t="str">
        <f t="shared" si="14"/>
        <v/>
      </c>
      <c r="L140" s="139" t="str">
        <f t="shared" si="15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1"/>
        <v/>
      </c>
      <c r="D141" s="136" t="str">
        <f t="shared" si="12"/>
        <v/>
      </c>
      <c r="E141" s="148"/>
      <c r="F141" s="188" t="str">
        <f t="shared" si="13"/>
        <v/>
      </c>
      <c r="G141" s="182"/>
      <c r="H141" s="182"/>
      <c r="I141" s="182"/>
      <c r="K141" s="139" t="str">
        <f t="shared" si="14"/>
        <v/>
      </c>
      <c r="L141" s="139" t="str">
        <f t="shared" si="15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1"/>
        <v/>
      </c>
      <c r="D142" s="136" t="str">
        <f t="shared" si="12"/>
        <v/>
      </c>
      <c r="E142" s="148"/>
      <c r="F142" s="188" t="str">
        <f t="shared" si="13"/>
        <v/>
      </c>
      <c r="G142" s="182"/>
      <c r="H142" s="182"/>
      <c r="I142" s="182"/>
      <c r="K142" s="139" t="str">
        <f t="shared" si="14"/>
        <v/>
      </c>
      <c r="L142" s="139" t="str">
        <f t="shared" si="15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1"/>
        <v/>
      </c>
      <c r="D143" s="136" t="str">
        <f t="shared" si="12"/>
        <v/>
      </c>
      <c r="E143" s="148"/>
      <c r="F143" s="188" t="str">
        <f t="shared" si="13"/>
        <v/>
      </c>
      <c r="G143" s="182"/>
      <c r="H143" s="182"/>
      <c r="I143" s="182"/>
      <c r="K143" s="139" t="str">
        <f t="shared" si="14"/>
        <v/>
      </c>
      <c r="L143" s="139" t="str">
        <f t="shared" si="15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1"/>
        <v/>
      </c>
      <c r="D144" s="136" t="str">
        <f t="shared" si="12"/>
        <v/>
      </c>
      <c r="E144" s="148"/>
      <c r="F144" s="188" t="str">
        <f t="shared" si="13"/>
        <v/>
      </c>
      <c r="G144" s="182"/>
      <c r="H144" s="182"/>
      <c r="I144" s="182"/>
      <c r="K144" s="139" t="str">
        <f t="shared" si="14"/>
        <v/>
      </c>
      <c r="L144" s="139" t="str">
        <f t="shared" si="15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1"/>
        <v/>
      </c>
      <c r="D145" s="136" t="str">
        <f t="shared" si="12"/>
        <v/>
      </c>
      <c r="E145" s="148"/>
      <c r="F145" s="188" t="str">
        <f t="shared" si="13"/>
        <v/>
      </c>
      <c r="G145" s="182"/>
      <c r="H145" s="182"/>
      <c r="I145" s="182"/>
      <c r="K145" s="139" t="str">
        <f t="shared" si="14"/>
        <v/>
      </c>
      <c r="L145" s="139" t="str">
        <f t="shared" si="15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1"/>
        <v/>
      </c>
      <c r="D146" s="136" t="str">
        <f t="shared" si="12"/>
        <v/>
      </c>
      <c r="E146" s="148"/>
      <c r="F146" s="188" t="str">
        <f t="shared" si="13"/>
        <v/>
      </c>
      <c r="G146" s="182"/>
      <c r="H146" s="182"/>
      <c r="I146" s="182"/>
      <c r="K146" s="139" t="str">
        <f t="shared" si="14"/>
        <v/>
      </c>
      <c r="L146" s="139" t="str">
        <f t="shared" si="15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1"/>
        <v/>
      </c>
      <c r="D147" s="136" t="str">
        <f t="shared" si="12"/>
        <v/>
      </c>
      <c r="E147" s="148"/>
      <c r="F147" s="188" t="str">
        <f t="shared" si="13"/>
        <v/>
      </c>
      <c r="G147" s="182"/>
      <c r="H147" s="182"/>
      <c r="I147" s="182"/>
      <c r="K147" s="139" t="str">
        <f t="shared" si="14"/>
        <v/>
      </c>
      <c r="L147" s="139" t="str">
        <f t="shared" si="15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1"/>
        <v/>
      </c>
      <c r="D148" s="136" t="str">
        <f t="shared" si="12"/>
        <v/>
      </c>
      <c r="E148" s="148"/>
      <c r="F148" s="188" t="str">
        <f t="shared" si="13"/>
        <v/>
      </c>
      <c r="G148" s="182"/>
      <c r="H148" s="182"/>
      <c r="I148" s="182"/>
      <c r="K148" s="139" t="str">
        <f t="shared" si="14"/>
        <v/>
      </c>
      <c r="L148" s="139" t="str">
        <f t="shared" si="15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1"/>
        <v/>
      </c>
      <c r="D149" s="136" t="str">
        <f t="shared" si="12"/>
        <v/>
      </c>
      <c r="E149" s="148"/>
      <c r="F149" s="188" t="str">
        <f t="shared" si="13"/>
        <v/>
      </c>
      <c r="G149" s="182"/>
      <c r="H149" s="182"/>
      <c r="I149" s="182"/>
      <c r="K149" s="139" t="str">
        <f t="shared" si="14"/>
        <v/>
      </c>
      <c r="L149" s="139" t="str">
        <f t="shared" si="15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1"/>
        <v/>
      </c>
      <c r="D150" s="136" t="str">
        <f t="shared" si="12"/>
        <v/>
      </c>
      <c r="E150" s="148"/>
      <c r="F150" s="188" t="str">
        <f t="shared" si="13"/>
        <v/>
      </c>
      <c r="G150" s="182"/>
      <c r="H150" s="182"/>
      <c r="I150" s="182"/>
      <c r="K150" s="139" t="str">
        <f t="shared" si="14"/>
        <v/>
      </c>
      <c r="L150" s="139" t="str">
        <f t="shared" si="15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1"/>
        <v/>
      </c>
      <c r="D151" s="136" t="str">
        <f t="shared" si="12"/>
        <v/>
      </c>
      <c r="E151" s="148"/>
      <c r="F151" s="188" t="str">
        <f t="shared" si="13"/>
        <v/>
      </c>
      <c r="G151" s="182"/>
      <c r="H151" s="182"/>
      <c r="I151" s="182"/>
      <c r="K151" s="139" t="str">
        <f t="shared" si="14"/>
        <v/>
      </c>
      <c r="L151" s="139" t="str">
        <f t="shared" si="15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1"/>
        <v/>
      </c>
      <c r="D152" s="136" t="str">
        <f t="shared" si="12"/>
        <v/>
      </c>
      <c r="E152" s="148"/>
      <c r="F152" s="188" t="str">
        <f t="shared" si="13"/>
        <v/>
      </c>
      <c r="G152" s="182"/>
      <c r="H152" s="182"/>
      <c r="I152" s="182"/>
      <c r="K152" s="139" t="str">
        <f t="shared" si="14"/>
        <v/>
      </c>
      <c r="L152" s="139" t="str">
        <f t="shared" si="15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1"/>
        <v/>
      </c>
      <c r="D153" s="136" t="str">
        <f t="shared" si="12"/>
        <v/>
      </c>
      <c r="E153" s="148"/>
      <c r="F153" s="188" t="str">
        <f t="shared" si="13"/>
        <v/>
      </c>
      <c r="G153" s="182"/>
      <c r="H153" s="182"/>
      <c r="I153" s="182"/>
      <c r="K153" s="139" t="str">
        <f t="shared" si="14"/>
        <v/>
      </c>
      <c r="L153" s="139" t="str">
        <f t="shared" si="15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1"/>
        <v/>
      </c>
      <c r="D154" s="136" t="str">
        <f t="shared" si="12"/>
        <v/>
      </c>
      <c r="E154" s="148"/>
      <c r="F154" s="188" t="str">
        <f t="shared" si="13"/>
        <v/>
      </c>
      <c r="G154" s="182"/>
      <c r="H154" s="182"/>
      <c r="I154" s="182"/>
      <c r="K154" s="139" t="str">
        <f t="shared" si="14"/>
        <v/>
      </c>
      <c r="L154" s="139" t="str">
        <f t="shared" si="15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1"/>
        <v/>
      </c>
      <c r="D155" s="136" t="str">
        <f t="shared" si="12"/>
        <v/>
      </c>
      <c r="E155" s="148"/>
      <c r="F155" s="188" t="str">
        <f t="shared" si="13"/>
        <v/>
      </c>
      <c r="G155" s="182"/>
      <c r="H155" s="182"/>
      <c r="I155" s="182"/>
      <c r="K155" s="139" t="str">
        <f t="shared" si="14"/>
        <v/>
      </c>
      <c r="L155" s="139" t="str">
        <f t="shared" si="15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1"/>
        <v/>
      </c>
      <c r="D156" s="136" t="str">
        <f t="shared" si="12"/>
        <v/>
      </c>
      <c r="E156" s="148"/>
      <c r="F156" s="188" t="str">
        <f t="shared" si="13"/>
        <v/>
      </c>
      <c r="G156" s="182"/>
      <c r="H156" s="182"/>
      <c r="I156" s="182"/>
      <c r="K156" s="139" t="str">
        <f t="shared" si="14"/>
        <v/>
      </c>
      <c r="L156" s="139" t="str">
        <f t="shared" si="15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1"/>
        <v/>
      </c>
      <c r="D157" s="136" t="str">
        <f t="shared" si="12"/>
        <v/>
      </c>
      <c r="E157" s="148"/>
      <c r="F157" s="188" t="str">
        <f t="shared" si="13"/>
        <v/>
      </c>
      <c r="G157" s="182"/>
      <c r="H157" s="182"/>
      <c r="I157" s="182"/>
      <c r="K157" s="139" t="str">
        <f t="shared" si="14"/>
        <v/>
      </c>
      <c r="L157" s="139" t="str">
        <f t="shared" si="15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1"/>
        <v/>
      </c>
      <c r="D158" s="136" t="str">
        <f t="shared" si="12"/>
        <v/>
      </c>
      <c r="E158" s="148"/>
      <c r="F158" s="188" t="str">
        <f t="shared" si="13"/>
        <v/>
      </c>
      <c r="G158" s="182"/>
      <c r="H158" s="182"/>
      <c r="I158" s="182"/>
      <c r="K158" s="139" t="str">
        <f t="shared" si="14"/>
        <v/>
      </c>
      <c r="L158" s="139" t="str">
        <f t="shared" si="15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1"/>
        <v/>
      </c>
      <c r="D159" s="136" t="str">
        <f t="shared" si="12"/>
        <v/>
      </c>
      <c r="E159" s="148"/>
      <c r="F159" s="188" t="str">
        <f t="shared" si="13"/>
        <v/>
      </c>
      <c r="G159" s="182"/>
      <c r="H159" s="182"/>
      <c r="I159" s="182"/>
      <c r="K159" s="139" t="str">
        <f t="shared" si="14"/>
        <v/>
      </c>
      <c r="L159" s="139" t="str">
        <f t="shared" si="15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1"/>
        <v/>
      </c>
      <c r="D160" s="136" t="str">
        <f t="shared" si="12"/>
        <v/>
      </c>
      <c r="E160" s="148"/>
      <c r="F160" s="188" t="str">
        <f t="shared" si="13"/>
        <v/>
      </c>
      <c r="G160" s="182"/>
      <c r="H160" s="182"/>
      <c r="I160" s="182"/>
      <c r="K160" s="139" t="str">
        <f t="shared" si="14"/>
        <v/>
      </c>
      <c r="L160" s="139" t="str">
        <f t="shared" si="15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1"/>
        <v/>
      </c>
      <c r="D161" s="136" t="str">
        <f t="shared" si="12"/>
        <v/>
      </c>
      <c r="E161" s="148"/>
      <c r="F161" s="188" t="str">
        <f t="shared" si="13"/>
        <v/>
      </c>
      <c r="G161" s="182"/>
      <c r="H161" s="182"/>
      <c r="I161" s="182"/>
      <c r="K161" s="139" t="str">
        <f t="shared" si="14"/>
        <v/>
      </c>
      <c r="L161" s="139" t="str">
        <f t="shared" si="15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1"/>
        <v/>
      </c>
      <c r="D162" s="136" t="str">
        <f t="shared" si="12"/>
        <v/>
      </c>
      <c r="E162" s="148"/>
      <c r="F162" s="188" t="str">
        <f t="shared" si="13"/>
        <v/>
      </c>
      <c r="G162" s="182"/>
      <c r="H162" s="182"/>
      <c r="I162" s="182"/>
      <c r="K162" s="139" t="str">
        <f t="shared" si="14"/>
        <v/>
      </c>
      <c r="L162" s="139" t="str">
        <f t="shared" si="15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1"/>
        <v/>
      </c>
      <c r="D163" s="136" t="str">
        <f t="shared" si="12"/>
        <v/>
      </c>
      <c r="E163" s="148"/>
      <c r="F163" s="188" t="str">
        <f t="shared" si="13"/>
        <v/>
      </c>
      <c r="G163" s="182"/>
      <c r="H163" s="182"/>
      <c r="I163" s="182"/>
      <c r="K163" s="139" t="str">
        <f t="shared" si="14"/>
        <v/>
      </c>
      <c r="L163" s="139" t="str">
        <f t="shared" si="15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1"/>
        <v/>
      </c>
      <c r="D164" s="136" t="str">
        <f t="shared" si="12"/>
        <v/>
      </c>
      <c r="E164" s="148"/>
      <c r="F164" s="188" t="str">
        <f t="shared" si="13"/>
        <v/>
      </c>
      <c r="G164" s="182"/>
      <c r="H164" s="182"/>
      <c r="I164" s="182"/>
      <c r="K164" s="139" t="str">
        <f t="shared" si="14"/>
        <v/>
      </c>
      <c r="L164" s="139" t="str">
        <f t="shared" si="15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1"/>
        <v/>
      </c>
      <c r="D165" s="136" t="str">
        <f t="shared" si="12"/>
        <v/>
      </c>
      <c r="E165" s="148"/>
      <c r="F165" s="188" t="str">
        <f t="shared" si="13"/>
        <v/>
      </c>
      <c r="G165" s="182"/>
      <c r="H165" s="182"/>
      <c r="I165" s="182"/>
      <c r="K165" s="139" t="str">
        <f t="shared" si="14"/>
        <v/>
      </c>
      <c r="L165" s="139" t="str">
        <f t="shared" si="15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1"/>
        <v/>
      </c>
      <c r="D166" s="136" t="str">
        <f t="shared" si="12"/>
        <v/>
      </c>
      <c r="E166" s="148"/>
      <c r="F166" s="188" t="str">
        <f t="shared" si="13"/>
        <v/>
      </c>
      <c r="G166" s="182"/>
      <c r="H166" s="182"/>
      <c r="I166" s="182"/>
      <c r="K166" s="139" t="str">
        <f t="shared" si="14"/>
        <v/>
      </c>
      <c r="L166" s="139" t="str">
        <f t="shared" si="15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1"/>
        <v/>
      </c>
      <c r="D167" s="136" t="str">
        <f t="shared" si="12"/>
        <v/>
      </c>
      <c r="E167" s="148"/>
      <c r="F167" s="188" t="str">
        <f t="shared" si="13"/>
        <v/>
      </c>
      <c r="G167" s="182"/>
      <c r="H167" s="182"/>
      <c r="I167" s="182"/>
      <c r="K167" s="139" t="str">
        <f t="shared" si="14"/>
        <v/>
      </c>
      <c r="L167" s="139" t="str">
        <f t="shared" si="15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1"/>
        <v/>
      </c>
      <c r="D168" s="136" t="str">
        <f t="shared" si="12"/>
        <v/>
      </c>
      <c r="E168" s="148"/>
      <c r="F168" s="188" t="str">
        <f t="shared" si="13"/>
        <v/>
      </c>
      <c r="G168" s="182"/>
      <c r="H168" s="182"/>
      <c r="I168" s="182"/>
      <c r="K168" s="139" t="str">
        <f t="shared" si="14"/>
        <v/>
      </c>
      <c r="L168" s="139" t="str">
        <f t="shared" si="15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1"/>
        <v/>
      </c>
      <c r="D169" s="136" t="str">
        <f t="shared" si="12"/>
        <v/>
      </c>
      <c r="E169" s="148"/>
      <c r="F169" s="188" t="str">
        <f t="shared" si="13"/>
        <v/>
      </c>
      <c r="G169" s="182"/>
      <c r="H169" s="182"/>
      <c r="I169" s="182"/>
      <c r="K169" s="139" t="str">
        <f t="shared" si="14"/>
        <v/>
      </c>
      <c r="L169" s="139" t="str">
        <f t="shared" si="15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1"/>
        <v/>
      </c>
      <c r="D170" s="136" t="str">
        <f t="shared" si="12"/>
        <v/>
      </c>
      <c r="E170" s="148"/>
      <c r="F170" s="188" t="str">
        <f t="shared" si="13"/>
        <v/>
      </c>
      <c r="G170" s="182"/>
      <c r="H170" s="182"/>
      <c r="I170" s="182"/>
      <c r="K170" s="139" t="str">
        <f t="shared" si="14"/>
        <v/>
      </c>
      <c r="L170" s="139" t="str">
        <f t="shared" si="15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1"/>
        <v/>
      </c>
      <c r="D171" s="136" t="str">
        <f t="shared" si="12"/>
        <v/>
      </c>
      <c r="E171" s="148"/>
      <c r="F171" s="188" t="str">
        <f t="shared" si="13"/>
        <v/>
      </c>
      <c r="G171" s="182"/>
      <c r="H171" s="182"/>
      <c r="I171" s="182"/>
      <c r="K171" s="139" t="str">
        <f t="shared" si="14"/>
        <v/>
      </c>
      <c r="L171" s="139" t="str">
        <f t="shared" si="15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1"/>
        <v/>
      </c>
      <c r="D172" s="136" t="str">
        <f t="shared" si="12"/>
        <v/>
      </c>
      <c r="E172" s="148"/>
      <c r="F172" s="188" t="str">
        <f t="shared" si="13"/>
        <v/>
      </c>
      <c r="G172" s="182"/>
      <c r="H172" s="182"/>
      <c r="I172" s="182"/>
      <c r="K172" s="139" t="str">
        <f t="shared" si="14"/>
        <v/>
      </c>
      <c r="L172" s="139" t="str">
        <f t="shared" si="15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1"/>
        <v/>
      </c>
      <c r="D173" s="136" t="str">
        <f t="shared" si="12"/>
        <v/>
      </c>
      <c r="E173" s="148"/>
      <c r="F173" s="188" t="str">
        <f t="shared" si="13"/>
        <v/>
      </c>
      <c r="G173" s="182"/>
      <c r="H173" s="182"/>
      <c r="I173" s="182"/>
      <c r="K173" s="139" t="str">
        <f t="shared" si="14"/>
        <v/>
      </c>
      <c r="L173" s="139" t="str">
        <f t="shared" si="15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1"/>
        <v/>
      </c>
      <c r="D174" s="136" t="str">
        <f t="shared" si="12"/>
        <v/>
      </c>
      <c r="E174" s="148"/>
      <c r="F174" s="188" t="str">
        <f t="shared" si="13"/>
        <v/>
      </c>
      <c r="G174" s="182"/>
      <c r="H174" s="182"/>
      <c r="I174" s="182"/>
      <c r="K174" s="139" t="str">
        <f t="shared" si="14"/>
        <v/>
      </c>
      <c r="L174" s="139" t="str">
        <f t="shared" si="15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1"/>
        <v/>
      </c>
      <c r="D175" s="136" t="str">
        <f t="shared" si="12"/>
        <v/>
      </c>
      <c r="E175" s="148"/>
      <c r="F175" s="188" t="str">
        <f t="shared" si="13"/>
        <v/>
      </c>
      <c r="G175" s="182"/>
      <c r="H175" s="182"/>
      <c r="I175" s="182"/>
      <c r="K175" s="139" t="str">
        <f t="shared" si="14"/>
        <v/>
      </c>
      <c r="L175" s="139" t="str">
        <f t="shared" si="15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1"/>
        <v/>
      </c>
      <c r="D176" s="136" t="str">
        <f t="shared" si="12"/>
        <v/>
      </c>
      <c r="E176" s="148"/>
      <c r="F176" s="188" t="str">
        <f t="shared" si="13"/>
        <v/>
      </c>
      <c r="G176" s="182"/>
      <c r="H176" s="182"/>
      <c r="I176" s="182"/>
      <c r="K176" s="139" t="str">
        <f t="shared" si="14"/>
        <v/>
      </c>
      <c r="L176" s="139" t="str">
        <f t="shared" si="15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1"/>
        <v/>
      </c>
      <c r="D177" s="136" t="str">
        <f t="shared" si="12"/>
        <v/>
      </c>
      <c r="E177" s="148"/>
      <c r="F177" s="188" t="str">
        <f t="shared" si="13"/>
        <v/>
      </c>
      <c r="G177" s="182"/>
      <c r="H177" s="182"/>
      <c r="I177" s="182"/>
      <c r="K177" s="139" t="str">
        <f t="shared" si="14"/>
        <v/>
      </c>
      <c r="L177" s="139" t="str">
        <f t="shared" si="15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1"/>
        <v/>
      </c>
      <c r="D178" s="136" t="str">
        <f t="shared" si="12"/>
        <v/>
      </c>
      <c r="E178" s="148"/>
      <c r="F178" s="188" t="str">
        <f t="shared" si="13"/>
        <v/>
      </c>
      <c r="G178" s="182"/>
      <c r="H178" s="182"/>
      <c r="I178" s="182"/>
      <c r="K178" s="139" t="str">
        <f t="shared" si="14"/>
        <v/>
      </c>
      <c r="L178" s="139" t="str">
        <f t="shared" si="15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1"/>
        <v/>
      </c>
      <c r="D179" s="136" t="str">
        <f t="shared" si="12"/>
        <v/>
      </c>
      <c r="E179" s="148"/>
      <c r="F179" s="188" t="str">
        <f t="shared" si="13"/>
        <v/>
      </c>
      <c r="G179" s="182"/>
      <c r="H179" s="182"/>
      <c r="I179" s="182"/>
      <c r="K179" s="139" t="str">
        <f t="shared" si="14"/>
        <v/>
      </c>
      <c r="L179" s="139" t="str">
        <f t="shared" si="15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1"/>
        <v/>
      </c>
      <c r="D180" s="136" t="str">
        <f t="shared" si="12"/>
        <v/>
      </c>
      <c r="E180" s="148"/>
      <c r="F180" s="188" t="str">
        <f t="shared" si="13"/>
        <v/>
      </c>
      <c r="G180" s="182"/>
      <c r="H180" s="182"/>
      <c r="I180" s="182"/>
      <c r="K180" s="139" t="str">
        <f t="shared" si="14"/>
        <v/>
      </c>
      <c r="L180" s="139" t="str">
        <f t="shared" si="15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1"/>
        <v/>
      </c>
      <c r="D181" s="136" t="str">
        <f t="shared" si="12"/>
        <v/>
      </c>
      <c r="E181" s="148"/>
      <c r="F181" s="188" t="str">
        <f t="shared" si="13"/>
        <v/>
      </c>
      <c r="G181" s="182"/>
      <c r="H181" s="182"/>
      <c r="I181" s="182"/>
      <c r="K181" s="139" t="str">
        <f t="shared" si="14"/>
        <v/>
      </c>
      <c r="L181" s="139" t="str">
        <f t="shared" si="15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1"/>
        <v/>
      </c>
      <c r="D182" s="136" t="str">
        <f t="shared" si="12"/>
        <v/>
      </c>
      <c r="E182" s="148"/>
      <c r="F182" s="188" t="str">
        <f t="shared" si="13"/>
        <v/>
      </c>
      <c r="G182" s="182"/>
      <c r="H182" s="182"/>
      <c r="I182" s="182"/>
      <c r="K182" s="139" t="str">
        <f t="shared" si="14"/>
        <v/>
      </c>
      <c r="L182" s="139" t="str">
        <f t="shared" si="15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1"/>
        <v/>
      </c>
      <c r="D183" s="136" t="str">
        <f t="shared" si="12"/>
        <v/>
      </c>
      <c r="E183" s="148"/>
      <c r="F183" s="188" t="str">
        <f t="shared" si="13"/>
        <v/>
      </c>
      <c r="G183" s="182"/>
      <c r="H183" s="182"/>
      <c r="I183" s="182"/>
      <c r="K183" s="139" t="str">
        <f t="shared" si="14"/>
        <v/>
      </c>
      <c r="L183" s="139" t="str">
        <f t="shared" si="15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1"/>
        <v/>
      </c>
      <c r="D184" s="136" t="str">
        <f t="shared" si="12"/>
        <v/>
      </c>
      <c r="E184" s="148"/>
      <c r="F184" s="188" t="str">
        <f t="shared" si="13"/>
        <v/>
      </c>
      <c r="G184" s="182"/>
      <c r="H184" s="182"/>
      <c r="I184" s="182"/>
      <c r="K184" s="139" t="str">
        <f t="shared" si="14"/>
        <v/>
      </c>
      <c r="L184" s="139" t="str">
        <f t="shared" si="15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1"/>
        <v/>
      </c>
      <c r="D185" s="136" t="str">
        <f t="shared" si="12"/>
        <v/>
      </c>
      <c r="E185" s="148"/>
      <c r="F185" s="188" t="str">
        <f t="shared" si="13"/>
        <v/>
      </c>
      <c r="G185" s="182"/>
      <c r="H185" s="182"/>
      <c r="I185" s="182"/>
      <c r="K185" s="139" t="str">
        <f t="shared" si="14"/>
        <v/>
      </c>
      <c r="L185" s="139" t="str">
        <f t="shared" si="15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1"/>
        <v/>
      </c>
      <c r="D186" s="136" t="str">
        <f t="shared" si="12"/>
        <v/>
      </c>
      <c r="E186" s="148"/>
      <c r="F186" s="188" t="str">
        <f t="shared" si="13"/>
        <v/>
      </c>
      <c r="G186" s="182"/>
      <c r="H186" s="182"/>
      <c r="I186" s="182"/>
      <c r="K186" s="139" t="str">
        <f t="shared" si="14"/>
        <v/>
      </c>
      <c r="L186" s="139" t="str">
        <f t="shared" si="15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1"/>
        <v/>
      </c>
      <c r="D187" s="136" t="str">
        <f t="shared" si="12"/>
        <v/>
      </c>
      <c r="E187" s="148"/>
      <c r="F187" s="188" t="str">
        <f t="shared" si="13"/>
        <v/>
      </c>
      <c r="G187" s="182"/>
      <c r="H187" s="182"/>
      <c r="I187" s="182"/>
      <c r="K187" s="139" t="str">
        <f t="shared" si="14"/>
        <v/>
      </c>
      <c r="L187" s="139" t="str">
        <f t="shared" si="15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1"/>
        <v/>
      </c>
      <c r="D188" s="136" t="str">
        <f t="shared" si="12"/>
        <v/>
      </c>
      <c r="E188" s="148"/>
      <c r="F188" s="188" t="str">
        <f t="shared" si="13"/>
        <v/>
      </c>
      <c r="G188" s="182"/>
      <c r="H188" s="182"/>
      <c r="I188" s="182"/>
      <c r="K188" s="139" t="str">
        <f t="shared" si="14"/>
        <v/>
      </c>
      <c r="L188" s="139" t="str">
        <f t="shared" si="15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1"/>
        <v/>
      </c>
      <c r="D189" s="136" t="str">
        <f t="shared" si="12"/>
        <v/>
      </c>
      <c r="E189" s="148"/>
      <c r="F189" s="188" t="str">
        <f t="shared" si="13"/>
        <v/>
      </c>
      <c r="G189" s="182"/>
      <c r="H189" s="182"/>
      <c r="I189" s="182"/>
      <c r="K189" s="139" t="str">
        <f t="shared" si="14"/>
        <v/>
      </c>
      <c r="L189" s="139" t="str">
        <f t="shared" si="15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1"/>
        <v/>
      </c>
      <c r="D190" s="136" t="str">
        <f t="shared" si="12"/>
        <v/>
      </c>
      <c r="E190" s="148"/>
      <c r="F190" s="188" t="str">
        <f t="shared" si="13"/>
        <v/>
      </c>
      <c r="G190" s="182"/>
      <c r="H190" s="182"/>
      <c r="I190" s="182"/>
      <c r="K190" s="139" t="str">
        <f t="shared" si="14"/>
        <v/>
      </c>
      <c r="L190" s="139" t="str">
        <f t="shared" si="15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1"/>
        <v/>
      </c>
      <c r="D191" s="136" t="str">
        <f t="shared" si="12"/>
        <v/>
      </c>
      <c r="E191" s="148"/>
      <c r="F191" s="188" t="str">
        <f t="shared" si="13"/>
        <v/>
      </c>
      <c r="G191" s="182"/>
      <c r="H191" s="182"/>
      <c r="I191" s="182"/>
      <c r="K191" s="139" t="str">
        <f t="shared" si="14"/>
        <v/>
      </c>
      <c r="L191" s="139" t="str">
        <f t="shared" si="15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1"/>
        <v/>
      </c>
      <c r="D192" s="136" t="str">
        <f t="shared" si="12"/>
        <v/>
      </c>
      <c r="E192" s="148"/>
      <c r="F192" s="188" t="str">
        <f t="shared" si="13"/>
        <v/>
      </c>
      <c r="G192" s="182"/>
      <c r="H192" s="182"/>
      <c r="I192" s="182"/>
      <c r="K192" s="139" t="str">
        <f t="shared" si="14"/>
        <v/>
      </c>
      <c r="L192" s="139" t="str">
        <f t="shared" si="15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1"/>
        <v/>
      </c>
      <c r="D193" s="136" t="str">
        <f t="shared" si="12"/>
        <v/>
      </c>
      <c r="E193" s="148"/>
      <c r="F193" s="188" t="str">
        <f t="shared" si="13"/>
        <v/>
      </c>
      <c r="G193" s="182"/>
      <c r="H193" s="182"/>
      <c r="I193" s="182"/>
      <c r="K193" s="139" t="str">
        <f t="shared" si="14"/>
        <v/>
      </c>
      <c r="L193" s="139" t="str">
        <f t="shared" si="15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1"/>
        <v/>
      </c>
      <c r="D194" s="136" t="str">
        <f t="shared" si="12"/>
        <v/>
      </c>
      <c r="E194" s="148"/>
      <c r="F194" s="188" t="str">
        <f t="shared" si="13"/>
        <v/>
      </c>
      <c r="G194" s="182"/>
      <c r="H194" s="182"/>
      <c r="I194" s="182"/>
      <c r="K194" s="139" t="str">
        <f t="shared" si="14"/>
        <v/>
      </c>
      <c r="L194" s="139" t="str">
        <f t="shared" si="15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ref="C195:C258" si="16">IFERROR(VLOOKUP(E195,$Q$6:$T$104,3,FALSE),"")</f>
        <v/>
      </c>
      <c r="D195" s="136" t="str">
        <f t="shared" ref="D195:D258" si="17">IFERROR(VLOOKUP(E195,$Q$6:$T$104,4,FALSE),"")</f>
        <v/>
      </c>
      <c r="E195" s="148"/>
      <c r="F195" s="188" t="str">
        <f t="shared" ref="F195:F258" si="18">IFERROR(VLOOKUP(E195,$Q$6:$T$104,2,FALSE),"")</f>
        <v/>
      </c>
      <c r="G195" s="182"/>
      <c r="H195" s="182"/>
      <c r="I195" s="182"/>
      <c r="K195" s="139" t="str">
        <f t="shared" ref="K195:K258" si="19">LEFT(E195,3)</f>
        <v/>
      </c>
      <c r="L195" s="139" t="str">
        <f t="shared" ref="L195:L258" si="20">LEFT(E195,2)</f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si="16"/>
        <v/>
      </c>
      <c r="D196" s="136" t="str">
        <f t="shared" si="17"/>
        <v/>
      </c>
      <c r="E196" s="148"/>
      <c r="F196" s="188" t="str">
        <f t="shared" si="18"/>
        <v/>
      </c>
      <c r="G196" s="182"/>
      <c r="H196" s="182"/>
      <c r="I196" s="182"/>
      <c r="K196" s="139" t="str">
        <f t="shared" si="19"/>
        <v/>
      </c>
      <c r="L196" s="139" t="str">
        <f t="shared" si="20"/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6"/>
        <v/>
      </c>
      <c r="D197" s="136" t="str">
        <f t="shared" si="17"/>
        <v/>
      </c>
      <c r="E197" s="148"/>
      <c r="F197" s="188" t="str">
        <f t="shared" si="18"/>
        <v/>
      </c>
      <c r="G197" s="182"/>
      <c r="H197" s="182"/>
      <c r="I197" s="182"/>
      <c r="K197" s="139" t="str">
        <f t="shared" si="19"/>
        <v/>
      </c>
      <c r="L197" s="139" t="str">
        <f t="shared" si="20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6"/>
        <v/>
      </c>
      <c r="D198" s="136" t="str">
        <f t="shared" si="17"/>
        <v/>
      </c>
      <c r="E198" s="148"/>
      <c r="F198" s="188" t="str">
        <f t="shared" si="18"/>
        <v/>
      </c>
      <c r="G198" s="182"/>
      <c r="H198" s="182"/>
      <c r="I198" s="182"/>
      <c r="K198" s="139" t="str">
        <f t="shared" si="19"/>
        <v/>
      </c>
      <c r="L198" s="139" t="str">
        <f t="shared" si="20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6"/>
        <v/>
      </c>
      <c r="D199" s="136" t="str">
        <f t="shared" si="17"/>
        <v/>
      </c>
      <c r="E199" s="148"/>
      <c r="F199" s="188" t="str">
        <f t="shared" si="18"/>
        <v/>
      </c>
      <c r="G199" s="182"/>
      <c r="H199" s="182"/>
      <c r="I199" s="182"/>
      <c r="K199" s="139" t="str">
        <f t="shared" si="19"/>
        <v/>
      </c>
      <c r="L199" s="139" t="str">
        <f t="shared" si="20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6"/>
        <v/>
      </c>
      <c r="D200" s="136" t="str">
        <f t="shared" si="17"/>
        <v/>
      </c>
      <c r="E200" s="148"/>
      <c r="F200" s="188" t="str">
        <f t="shared" si="18"/>
        <v/>
      </c>
      <c r="G200" s="182"/>
      <c r="H200" s="182"/>
      <c r="I200" s="182"/>
      <c r="K200" s="139" t="str">
        <f t="shared" si="19"/>
        <v/>
      </c>
      <c r="L200" s="139" t="str">
        <f t="shared" si="20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6"/>
        <v/>
      </c>
      <c r="D201" s="136" t="str">
        <f t="shared" si="17"/>
        <v/>
      </c>
      <c r="E201" s="148"/>
      <c r="F201" s="188" t="str">
        <f t="shared" si="18"/>
        <v/>
      </c>
      <c r="G201" s="182"/>
      <c r="H201" s="182"/>
      <c r="I201" s="182"/>
      <c r="K201" s="139" t="str">
        <f t="shared" si="19"/>
        <v/>
      </c>
      <c r="L201" s="139" t="str">
        <f t="shared" si="20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6"/>
        <v/>
      </c>
      <c r="D202" s="136" t="str">
        <f t="shared" si="17"/>
        <v/>
      </c>
      <c r="E202" s="148"/>
      <c r="F202" s="188" t="str">
        <f t="shared" si="18"/>
        <v/>
      </c>
      <c r="G202" s="182"/>
      <c r="H202" s="182"/>
      <c r="I202" s="182"/>
      <c r="K202" s="139" t="str">
        <f t="shared" si="19"/>
        <v/>
      </c>
      <c r="L202" s="139" t="str">
        <f t="shared" si="20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6"/>
        <v/>
      </c>
      <c r="D203" s="136" t="str">
        <f t="shared" si="17"/>
        <v/>
      </c>
      <c r="E203" s="148"/>
      <c r="F203" s="188" t="str">
        <f t="shared" si="18"/>
        <v/>
      </c>
      <c r="G203" s="182"/>
      <c r="H203" s="182"/>
      <c r="I203" s="182"/>
      <c r="K203" s="139" t="str">
        <f t="shared" si="19"/>
        <v/>
      </c>
      <c r="L203" s="139" t="str">
        <f t="shared" si="20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6"/>
        <v/>
      </c>
      <c r="D204" s="136" t="str">
        <f t="shared" si="17"/>
        <v/>
      </c>
      <c r="E204" s="148"/>
      <c r="F204" s="188" t="str">
        <f t="shared" si="18"/>
        <v/>
      </c>
      <c r="G204" s="182"/>
      <c r="H204" s="182"/>
      <c r="I204" s="182"/>
      <c r="K204" s="139" t="str">
        <f t="shared" si="19"/>
        <v/>
      </c>
      <c r="L204" s="139" t="str">
        <f t="shared" si="20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6"/>
        <v/>
      </c>
      <c r="D205" s="136" t="str">
        <f t="shared" si="17"/>
        <v/>
      </c>
      <c r="E205" s="148"/>
      <c r="F205" s="188" t="str">
        <f t="shared" si="18"/>
        <v/>
      </c>
      <c r="G205" s="182"/>
      <c r="H205" s="182"/>
      <c r="I205" s="182"/>
      <c r="K205" s="139" t="str">
        <f t="shared" si="19"/>
        <v/>
      </c>
      <c r="L205" s="139" t="str">
        <f t="shared" si="20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6"/>
        <v/>
      </c>
      <c r="D206" s="136" t="str">
        <f t="shared" si="17"/>
        <v/>
      </c>
      <c r="E206" s="148"/>
      <c r="F206" s="188" t="str">
        <f t="shared" si="18"/>
        <v/>
      </c>
      <c r="G206" s="182"/>
      <c r="H206" s="182"/>
      <c r="I206" s="182"/>
      <c r="K206" s="139" t="str">
        <f t="shared" si="19"/>
        <v/>
      </c>
      <c r="L206" s="139" t="str">
        <f t="shared" si="20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6"/>
        <v/>
      </c>
      <c r="D207" s="136" t="str">
        <f t="shared" si="17"/>
        <v/>
      </c>
      <c r="E207" s="148"/>
      <c r="F207" s="188" t="str">
        <f t="shared" si="18"/>
        <v/>
      </c>
      <c r="G207" s="182"/>
      <c r="H207" s="182"/>
      <c r="I207" s="182"/>
      <c r="K207" s="139" t="str">
        <f t="shared" si="19"/>
        <v/>
      </c>
      <c r="L207" s="139" t="str">
        <f t="shared" si="20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6"/>
        <v/>
      </c>
      <c r="D208" s="136" t="str">
        <f t="shared" si="17"/>
        <v/>
      </c>
      <c r="E208" s="148"/>
      <c r="F208" s="188" t="str">
        <f t="shared" si="18"/>
        <v/>
      </c>
      <c r="G208" s="182"/>
      <c r="H208" s="182"/>
      <c r="I208" s="182"/>
      <c r="K208" s="139" t="str">
        <f t="shared" si="19"/>
        <v/>
      </c>
      <c r="L208" s="139" t="str">
        <f t="shared" si="20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6"/>
        <v/>
      </c>
      <c r="D209" s="136" t="str">
        <f t="shared" si="17"/>
        <v/>
      </c>
      <c r="E209" s="148"/>
      <c r="F209" s="188" t="str">
        <f t="shared" si="18"/>
        <v/>
      </c>
      <c r="G209" s="182"/>
      <c r="H209" s="182"/>
      <c r="I209" s="182"/>
      <c r="K209" s="139" t="str">
        <f t="shared" si="19"/>
        <v/>
      </c>
      <c r="L209" s="139" t="str">
        <f t="shared" si="20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6"/>
        <v/>
      </c>
      <c r="D210" s="136" t="str">
        <f t="shared" si="17"/>
        <v/>
      </c>
      <c r="E210" s="148"/>
      <c r="F210" s="188" t="str">
        <f t="shared" si="18"/>
        <v/>
      </c>
      <c r="G210" s="182"/>
      <c r="H210" s="182"/>
      <c r="I210" s="182"/>
      <c r="K210" s="139" t="str">
        <f t="shared" si="19"/>
        <v/>
      </c>
      <c r="L210" s="139" t="str">
        <f t="shared" si="20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6"/>
        <v/>
      </c>
      <c r="D211" s="136" t="str">
        <f t="shared" si="17"/>
        <v/>
      </c>
      <c r="E211" s="148"/>
      <c r="F211" s="188" t="str">
        <f t="shared" si="18"/>
        <v/>
      </c>
      <c r="G211" s="182"/>
      <c r="H211" s="182"/>
      <c r="I211" s="182"/>
      <c r="K211" s="139" t="str">
        <f t="shared" si="19"/>
        <v/>
      </c>
      <c r="L211" s="139" t="str">
        <f t="shared" si="20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6"/>
        <v/>
      </c>
      <c r="D212" s="136" t="str">
        <f t="shared" si="17"/>
        <v/>
      </c>
      <c r="E212" s="148"/>
      <c r="F212" s="188" t="str">
        <f t="shared" si="18"/>
        <v/>
      </c>
      <c r="G212" s="182"/>
      <c r="H212" s="182"/>
      <c r="I212" s="182"/>
      <c r="K212" s="139" t="str">
        <f t="shared" si="19"/>
        <v/>
      </c>
      <c r="L212" s="139" t="str">
        <f t="shared" si="20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6"/>
        <v/>
      </c>
      <c r="D213" s="136" t="str">
        <f t="shared" si="17"/>
        <v/>
      </c>
      <c r="E213" s="148"/>
      <c r="F213" s="188" t="str">
        <f t="shared" si="18"/>
        <v/>
      </c>
      <c r="G213" s="182"/>
      <c r="H213" s="182"/>
      <c r="I213" s="182"/>
      <c r="K213" s="139" t="str">
        <f t="shared" si="19"/>
        <v/>
      </c>
      <c r="L213" s="139" t="str">
        <f t="shared" si="20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6"/>
        <v/>
      </c>
      <c r="D214" s="136" t="str">
        <f t="shared" si="17"/>
        <v/>
      </c>
      <c r="E214" s="148"/>
      <c r="F214" s="188" t="str">
        <f t="shared" si="18"/>
        <v/>
      </c>
      <c r="G214" s="182"/>
      <c r="H214" s="182"/>
      <c r="I214" s="182"/>
      <c r="K214" s="139" t="str">
        <f t="shared" si="19"/>
        <v/>
      </c>
      <c r="L214" s="139" t="str">
        <f t="shared" si="20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6"/>
        <v/>
      </c>
      <c r="D215" s="136" t="str">
        <f t="shared" si="17"/>
        <v/>
      </c>
      <c r="E215" s="148"/>
      <c r="F215" s="188" t="str">
        <f t="shared" si="18"/>
        <v/>
      </c>
      <c r="G215" s="182"/>
      <c r="H215" s="182"/>
      <c r="I215" s="182"/>
      <c r="K215" s="139" t="str">
        <f t="shared" si="19"/>
        <v/>
      </c>
      <c r="L215" s="139" t="str">
        <f t="shared" si="20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6"/>
        <v/>
      </c>
      <c r="D216" s="136" t="str">
        <f t="shared" si="17"/>
        <v/>
      </c>
      <c r="E216" s="148"/>
      <c r="F216" s="188" t="str">
        <f t="shared" si="18"/>
        <v/>
      </c>
      <c r="G216" s="182"/>
      <c r="H216" s="182"/>
      <c r="I216" s="182"/>
      <c r="K216" s="139" t="str">
        <f t="shared" si="19"/>
        <v/>
      </c>
      <c r="L216" s="139" t="str">
        <f t="shared" si="20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6"/>
        <v/>
      </c>
      <c r="D217" s="136" t="str">
        <f t="shared" si="17"/>
        <v/>
      </c>
      <c r="E217" s="148"/>
      <c r="F217" s="188" t="str">
        <f t="shared" si="18"/>
        <v/>
      </c>
      <c r="G217" s="182"/>
      <c r="H217" s="182"/>
      <c r="I217" s="182"/>
      <c r="K217" s="139" t="str">
        <f t="shared" si="19"/>
        <v/>
      </c>
      <c r="L217" s="139" t="str">
        <f t="shared" si="20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6"/>
        <v/>
      </c>
      <c r="D218" s="136" t="str">
        <f t="shared" si="17"/>
        <v/>
      </c>
      <c r="E218" s="148"/>
      <c r="F218" s="188" t="str">
        <f t="shared" si="18"/>
        <v/>
      </c>
      <c r="G218" s="182"/>
      <c r="H218" s="182"/>
      <c r="I218" s="182"/>
      <c r="K218" s="139" t="str">
        <f t="shared" si="19"/>
        <v/>
      </c>
      <c r="L218" s="139" t="str">
        <f t="shared" si="20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6"/>
        <v/>
      </c>
      <c r="D219" s="136" t="str">
        <f t="shared" si="17"/>
        <v/>
      </c>
      <c r="E219" s="148"/>
      <c r="F219" s="188" t="str">
        <f t="shared" si="18"/>
        <v/>
      </c>
      <c r="G219" s="182"/>
      <c r="H219" s="182"/>
      <c r="I219" s="182"/>
      <c r="K219" s="139" t="str">
        <f t="shared" si="19"/>
        <v/>
      </c>
      <c r="L219" s="139" t="str">
        <f t="shared" si="20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6"/>
        <v/>
      </c>
      <c r="D220" s="136" t="str">
        <f t="shared" si="17"/>
        <v/>
      </c>
      <c r="E220" s="148"/>
      <c r="F220" s="188" t="str">
        <f t="shared" si="18"/>
        <v/>
      </c>
      <c r="G220" s="182"/>
      <c r="H220" s="182"/>
      <c r="I220" s="182"/>
      <c r="K220" s="139" t="str">
        <f t="shared" si="19"/>
        <v/>
      </c>
      <c r="L220" s="139" t="str">
        <f t="shared" si="20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6"/>
        <v/>
      </c>
      <c r="D221" s="136" t="str">
        <f t="shared" si="17"/>
        <v/>
      </c>
      <c r="E221" s="148"/>
      <c r="F221" s="188" t="str">
        <f t="shared" si="18"/>
        <v/>
      </c>
      <c r="G221" s="182"/>
      <c r="H221" s="182"/>
      <c r="I221" s="182"/>
      <c r="K221" s="139" t="str">
        <f t="shared" si="19"/>
        <v/>
      </c>
      <c r="L221" s="139" t="str">
        <f t="shared" si="20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6"/>
        <v/>
      </c>
      <c r="D222" s="136" t="str">
        <f t="shared" si="17"/>
        <v/>
      </c>
      <c r="E222" s="148"/>
      <c r="F222" s="188" t="str">
        <f t="shared" si="18"/>
        <v/>
      </c>
      <c r="G222" s="182"/>
      <c r="H222" s="182"/>
      <c r="I222" s="182"/>
      <c r="K222" s="139" t="str">
        <f t="shared" si="19"/>
        <v/>
      </c>
      <c r="L222" s="139" t="str">
        <f t="shared" si="20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6"/>
        <v/>
      </c>
      <c r="D223" s="136" t="str">
        <f t="shared" si="17"/>
        <v/>
      </c>
      <c r="E223" s="148"/>
      <c r="F223" s="188" t="str">
        <f t="shared" si="18"/>
        <v/>
      </c>
      <c r="G223" s="182"/>
      <c r="H223" s="182"/>
      <c r="I223" s="182"/>
      <c r="K223" s="139" t="str">
        <f t="shared" si="19"/>
        <v/>
      </c>
      <c r="L223" s="139" t="str">
        <f t="shared" si="20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6"/>
        <v/>
      </c>
      <c r="D224" s="136" t="str">
        <f t="shared" si="17"/>
        <v/>
      </c>
      <c r="E224" s="148"/>
      <c r="F224" s="188" t="str">
        <f t="shared" si="18"/>
        <v/>
      </c>
      <c r="G224" s="182"/>
      <c r="H224" s="182"/>
      <c r="I224" s="182"/>
      <c r="K224" s="139" t="str">
        <f t="shared" si="19"/>
        <v/>
      </c>
      <c r="L224" s="139" t="str">
        <f t="shared" si="20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6"/>
        <v/>
      </c>
      <c r="D225" s="136" t="str">
        <f t="shared" si="17"/>
        <v/>
      </c>
      <c r="E225" s="148"/>
      <c r="F225" s="188" t="str">
        <f t="shared" si="18"/>
        <v/>
      </c>
      <c r="G225" s="182"/>
      <c r="H225" s="182"/>
      <c r="I225" s="182"/>
      <c r="K225" s="139" t="str">
        <f t="shared" si="19"/>
        <v/>
      </c>
      <c r="L225" s="139" t="str">
        <f t="shared" si="20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6"/>
        <v/>
      </c>
      <c r="D226" s="136" t="str">
        <f t="shared" si="17"/>
        <v/>
      </c>
      <c r="E226" s="148"/>
      <c r="F226" s="188" t="str">
        <f t="shared" si="18"/>
        <v/>
      </c>
      <c r="G226" s="182"/>
      <c r="H226" s="182"/>
      <c r="I226" s="182"/>
      <c r="K226" s="139" t="str">
        <f t="shared" si="19"/>
        <v/>
      </c>
      <c r="L226" s="139" t="str">
        <f t="shared" si="20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6"/>
        <v/>
      </c>
      <c r="D227" s="136" t="str">
        <f t="shared" si="17"/>
        <v/>
      </c>
      <c r="E227" s="148"/>
      <c r="F227" s="188" t="str">
        <f t="shared" si="18"/>
        <v/>
      </c>
      <c r="G227" s="182"/>
      <c r="H227" s="182"/>
      <c r="I227" s="182"/>
      <c r="K227" s="139" t="str">
        <f t="shared" si="19"/>
        <v/>
      </c>
      <c r="L227" s="139" t="str">
        <f t="shared" si="20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6"/>
        <v/>
      </c>
      <c r="D228" s="136" t="str">
        <f t="shared" si="17"/>
        <v/>
      </c>
      <c r="E228" s="148"/>
      <c r="F228" s="188" t="str">
        <f t="shared" si="18"/>
        <v/>
      </c>
      <c r="G228" s="182"/>
      <c r="H228" s="182"/>
      <c r="I228" s="182"/>
      <c r="K228" s="139" t="str">
        <f t="shared" si="19"/>
        <v/>
      </c>
      <c r="L228" s="139" t="str">
        <f t="shared" si="20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6"/>
        <v/>
      </c>
      <c r="D229" s="136" t="str">
        <f t="shared" si="17"/>
        <v/>
      </c>
      <c r="E229" s="148"/>
      <c r="F229" s="188" t="str">
        <f t="shared" si="18"/>
        <v/>
      </c>
      <c r="G229" s="182"/>
      <c r="H229" s="182"/>
      <c r="I229" s="182"/>
      <c r="K229" s="139" t="str">
        <f t="shared" si="19"/>
        <v/>
      </c>
      <c r="L229" s="139" t="str">
        <f t="shared" si="20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6"/>
        <v/>
      </c>
      <c r="D230" s="136" t="str">
        <f t="shared" si="17"/>
        <v/>
      </c>
      <c r="E230" s="148"/>
      <c r="F230" s="188" t="str">
        <f t="shared" si="18"/>
        <v/>
      </c>
      <c r="G230" s="182"/>
      <c r="H230" s="182"/>
      <c r="I230" s="182"/>
      <c r="K230" s="139" t="str">
        <f t="shared" si="19"/>
        <v/>
      </c>
      <c r="L230" s="139" t="str">
        <f t="shared" si="20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6"/>
        <v/>
      </c>
      <c r="D231" s="136" t="str">
        <f t="shared" si="17"/>
        <v/>
      </c>
      <c r="E231" s="148"/>
      <c r="F231" s="188" t="str">
        <f t="shared" si="18"/>
        <v/>
      </c>
      <c r="G231" s="182"/>
      <c r="H231" s="182"/>
      <c r="I231" s="182"/>
      <c r="K231" s="139" t="str">
        <f t="shared" si="19"/>
        <v/>
      </c>
      <c r="L231" s="139" t="str">
        <f t="shared" si="20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6"/>
        <v/>
      </c>
      <c r="D232" s="136" t="str">
        <f t="shared" si="17"/>
        <v/>
      </c>
      <c r="E232" s="148"/>
      <c r="F232" s="188" t="str">
        <f t="shared" si="18"/>
        <v/>
      </c>
      <c r="G232" s="182"/>
      <c r="H232" s="182"/>
      <c r="I232" s="182"/>
      <c r="K232" s="139" t="str">
        <f t="shared" si="19"/>
        <v/>
      </c>
      <c r="L232" s="139" t="str">
        <f t="shared" si="20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6"/>
        <v/>
      </c>
      <c r="D233" s="136" t="str">
        <f t="shared" si="17"/>
        <v/>
      </c>
      <c r="E233" s="148"/>
      <c r="F233" s="188" t="str">
        <f t="shared" si="18"/>
        <v/>
      </c>
      <c r="G233" s="182"/>
      <c r="H233" s="182"/>
      <c r="I233" s="182"/>
      <c r="K233" s="139" t="str">
        <f t="shared" si="19"/>
        <v/>
      </c>
      <c r="L233" s="139" t="str">
        <f t="shared" si="20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6"/>
        <v/>
      </c>
      <c r="D234" s="136" t="str">
        <f t="shared" si="17"/>
        <v/>
      </c>
      <c r="E234" s="148"/>
      <c r="F234" s="188" t="str">
        <f t="shared" si="18"/>
        <v/>
      </c>
      <c r="G234" s="182"/>
      <c r="H234" s="182"/>
      <c r="I234" s="182"/>
      <c r="K234" s="139" t="str">
        <f t="shared" si="19"/>
        <v/>
      </c>
      <c r="L234" s="139" t="str">
        <f t="shared" si="20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6"/>
        <v/>
      </c>
      <c r="D235" s="136" t="str">
        <f t="shared" si="17"/>
        <v/>
      </c>
      <c r="E235" s="148"/>
      <c r="F235" s="188" t="str">
        <f t="shared" si="18"/>
        <v/>
      </c>
      <c r="G235" s="182"/>
      <c r="H235" s="182"/>
      <c r="I235" s="182"/>
      <c r="K235" s="139" t="str">
        <f t="shared" si="19"/>
        <v/>
      </c>
      <c r="L235" s="139" t="str">
        <f t="shared" si="20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6"/>
        <v/>
      </c>
      <c r="D236" s="136" t="str">
        <f t="shared" si="17"/>
        <v/>
      </c>
      <c r="E236" s="148"/>
      <c r="F236" s="188" t="str">
        <f t="shared" si="18"/>
        <v/>
      </c>
      <c r="G236" s="182"/>
      <c r="H236" s="182"/>
      <c r="I236" s="182"/>
      <c r="K236" s="139" t="str">
        <f t="shared" si="19"/>
        <v/>
      </c>
      <c r="L236" s="139" t="str">
        <f t="shared" si="20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6"/>
        <v/>
      </c>
      <c r="D237" s="136" t="str">
        <f t="shared" si="17"/>
        <v/>
      </c>
      <c r="E237" s="148"/>
      <c r="F237" s="188" t="str">
        <f t="shared" si="18"/>
        <v/>
      </c>
      <c r="G237" s="182"/>
      <c r="H237" s="182"/>
      <c r="I237" s="182"/>
      <c r="K237" s="139" t="str">
        <f t="shared" si="19"/>
        <v/>
      </c>
      <c r="L237" s="139" t="str">
        <f t="shared" si="20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6"/>
        <v/>
      </c>
      <c r="D238" s="136" t="str">
        <f t="shared" si="17"/>
        <v/>
      </c>
      <c r="E238" s="148"/>
      <c r="F238" s="188" t="str">
        <f t="shared" si="18"/>
        <v/>
      </c>
      <c r="G238" s="182"/>
      <c r="H238" s="182"/>
      <c r="I238" s="182"/>
      <c r="K238" s="139" t="str">
        <f t="shared" si="19"/>
        <v/>
      </c>
      <c r="L238" s="139" t="str">
        <f t="shared" si="20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6"/>
        <v/>
      </c>
      <c r="D239" s="136" t="str">
        <f t="shared" si="17"/>
        <v/>
      </c>
      <c r="E239" s="148"/>
      <c r="F239" s="188" t="str">
        <f t="shared" si="18"/>
        <v/>
      </c>
      <c r="G239" s="182"/>
      <c r="H239" s="182"/>
      <c r="I239" s="182"/>
      <c r="K239" s="139" t="str">
        <f t="shared" si="19"/>
        <v/>
      </c>
      <c r="L239" s="139" t="str">
        <f t="shared" si="20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6"/>
        <v/>
      </c>
      <c r="D240" s="136" t="str">
        <f t="shared" si="17"/>
        <v/>
      </c>
      <c r="E240" s="148"/>
      <c r="F240" s="188" t="str">
        <f t="shared" si="18"/>
        <v/>
      </c>
      <c r="G240" s="182"/>
      <c r="H240" s="182"/>
      <c r="I240" s="182"/>
      <c r="K240" s="139" t="str">
        <f t="shared" si="19"/>
        <v/>
      </c>
      <c r="L240" s="139" t="str">
        <f t="shared" si="20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6"/>
        <v/>
      </c>
      <c r="D241" s="136" t="str">
        <f t="shared" si="17"/>
        <v/>
      </c>
      <c r="E241" s="148"/>
      <c r="F241" s="188" t="str">
        <f t="shared" si="18"/>
        <v/>
      </c>
      <c r="G241" s="182"/>
      <c r="H241" s="182"/>
      <c r="I241" s="182"/>
      <c r="K241" s="139" t="str">
        <f t="shared" si="19"/>
        <v/>
      </c>
      <c r="L241" s="139" t="str">
        <f t="shared" si="20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6"/>
        <v/>
      </c>
      <c r="D242" s="136" t="str">
        <f t="shared" si="17"/>
        <v/>
      </c>
      <c r="E242" s="148"/>
      <c r="F242" s="188" t="str">
        <f t="shared" si="18"/>
        <v/>
      </c>
      <c r="G242" s="182"/>
      <c r="H242" s="182"/>
      <c r="I242" s="182"/>
      <c r="K242" s="139" t="str">
        <f t="shared" si="19"/>
        <v/>
      </c>
      <c r="L242" s="139" t="str">
        <f t="shared" si="20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6"/>
        <v/>
      </c>
      <c r="D243" s="136" t="str">
        <f t="shared" si="17"/>
        <v/>
      </c>
      <c r="E243" s="148"/>
      <c r="F243" s="188" t="str">
        <f t="shared" si="18"/>
        <v/>
      </c>
      <c r="G243" s="182"/>
      <c r="H243" s="182"/>
      <c r="I243" s="182"/>
      <c r="K243" s="139" t="str">
        <f t="shared" si="19"/>
        <v/>
      </c>
      <c r="L243" s="139" t="str">
        <f t="shared" si="20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6"/>
        <v/>
      </c>
      <c r="D244" s="136" t="str">
        <f t="shared" si="17"/>
        <v/>
      </c>
      <c r="E244" s="148"/>
      <c r="F244" s="188" t="str">
        <f t="shared" si="18"/>
        <v/>
      </c>
      <c r="G244" s="182"/>
      <c r="H244" s="182"/>
      <c r="I244" s="182"/>
      <c r="K244" s="139" t="str">
        <f t="shared" si="19"/>
        <v/>
      </c>
      <c r="L244" s="139" t="str">
        <f t="shared" si="20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6"/>
        <v/>
      </c>
      <c r="D245" s="136" t="str">
        <f t="shared" si="17"/>
        <v/>
      </c>
      <c r="E245" s="148"/>
      <c r="F245" s="188" t="str">
        <f t="shared" si="18"/>
        <v/>
      </c>
      <c r="G245" s="182"/>
      <c r="H245" s="182"/>
      <c r="I245" s="182"/>
      <c r="K245" s="139" t="str">
        <f t="shared" si="19"/>
        <v/>
      </c>
      <c r="L245" s="139" t="str">
        <f t="shared" si="20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6"/>
        <v/>
      </c>
      <c r="D246" s="136" t="str">
        <f t="shared" si="17"/>
        <v/>
      </c>
      <c r="E246" s="148"/>
      <c r="F246" s="188" t="str">
        <f t="shared" si="18"/>
        <v/>
      </c>
      <c r="G246" s="182"/>
      <c r="H246" s="182"/>
      <c r="I246" s="182"/>
      <c r="K246" s="139" t="str">
        <f t="shared" si="19"/>
        <v/>
      </c>
      <c r="L246" s="139" t="str">
        <f t="shared" si="20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6"/>
        <v/>
      </c>
      <c r="D247" s="136" t="str">
        <f t="shared" si="17"/>
        <v/>
      </c>
      <c r="E247" s="148"/>
      <c r="F247" s="188" t="str">
        <f t="shared" si="18"/>
        <v/>
      </c>
      <c r="G247" s="182"/>
      <c r="H247" s="182"/>
      <c r="I247" s="182"/>
      <c r="K247" s="139" t="str">
        <f t="shared" si="19"/>
        <v/>
      </c>
      <c r="L247" s="139" t="str">
        <f t="shared" si="20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6"/>
        <v/>
      </c>
      <c r="D248" s="136" t="str">
        <f t="shared" si="17"/>
        <v/>
      </c>
      <c r="E248" s="148"/>
      <c r="F248" s="188" t="str">
        <f t="shared" si="18"/>
        <v/>
      </c>
      <c r="G248" s="182"/>
      <c r="H248" s="182"/>
      <c r="I248" s="182"/>
      <c r="K248" s="139" t="str">
        <f t="shared" si="19"/>
        <v/>
      </c>
      <c r="L248" s="139" t="str">
        <f t="shared" si="20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6"/>
        <v/>
      </c>
      <c r="D249" s="136" t="str">
        <f t="shared" si="17"/>
        <v/>
      </c>
      <c r="E249" s="148"/>
      <c r="F249" s="188" t="str">
        <f t="shared" si="18"/>
        <v/>
      </c>
      <c r="G249" s="182"/>
      <c r="H249" s="182"/>
      <c r="I249" s="182"/>
      <c r="K249" s="139" t="str">
        <f t="shared" si="19"/>
        <v/>
      </c>
      <c r="L249" s="139" t="str">
        <f t="shared" si="20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6"/>
        <v/>
      </c>
      <c r="D250" s="136" t="str">
        <f t="shared" si="17"/>
        <v/>
      </c>
      <c r="E250" s="148"/>
      <c r="F250" s="188" t="str">
        <f t="shared" si="18"/>
        <v/>
      </c>
      <c r="G250" s="182"/>
      <c r="H250" s="182"/>
      <c r="I250" s="182"/>
      <c r="K250" s="139" t="str">
        <f t="shared" si="19"/>
        <v/>
      </c>
      <c r="L250" s="139" t="str">
        <f t="shared" si="20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6"/>
        <v/>
      </c>
      <c r="D251" s="136" t="str">
        <f t="shared" si="17"/>
        <v/>
      </c>
      <c r="E251" s="148"/>
      <c r="F251" s="188" t="str">
        <f t="shared" si="18"/>
        <v/>
      </c>
      <c r="G251" s="182"/>
      <c r="H251" s="182"/>
      <c r="I251" s="182"/>
      <c r="K251" s="139" t="str">
        <f t="shared" si="19"/>
        <v/>
      </c>
      <c r="L251" s="139" t="str">
        <f t="shared" si="20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6"/>
        <v/>
      </c>
      <c r="D252" s="136" t="str">
        <f t="shared" si="17"/>
        <v/>
      </c>
      <c r="E252" s="148"/>
      <c r="F252" s="188" t="str">
        <f t="shared" si="18"/>
        <v/>
      </c>
      <c r="G252" s="182"/>
      <c r="H252" s="182"/>
      <c r="I252" s="182"/>
      <c r="K252" s="139" t="str">
        <f t="shared" si="19"/>
        <v/>
      </c>
      <c r="L252" s="139" t="str">
        <f t="shared" si="20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6"/>
        <v/>
      </c>
      <c r="D253" s="136" t="str">
        <f t="shared" si="17"/>
        <v/>
      </c>
      <c r="E253" s="148"/>
      <c r="F253" s="188" t="str">
        <f t="shared" si="18"/>
        <v/>
      </c>
      <c r="G253" s="182"/>
      <c r="H253" s="182"/>
      <c r="I253" s="182"/>
      <c r="K253" s="139" t="str">
        <f t="shared" si="19"/>
        <v/>
      </c>
      <c r="L253" s="139" t="str">
        <f t="shared" si="20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6"/>
        <v/>
      </c>
      <c r="D254" s="136" t="str">
        <f t="shared" si="17"/>
        <v/>
      </c>
      <c r="E254" s="148"/>
      <c r="F254" s="188" t="str">
        <f t="shared" si="18"/>
        <v/>
      </c>
      <c r="G254" s="182"/>
      <c r="H254" s="182"/>
      <c r="I254" s="182"/>
      <c r="K254" s="139" t="str">
        <f t="shared" si="19"/>
        <v/>
      </c>
      <c r="L254" s="139" t="str">
        <f t="shared" si="20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6"/>
        <v/>
      </c>
      <c r="D255" s="136" t="str">
        <f t="shared" si="17"/>
        <v/>
      </c>
      <c r="E255" s="148"/>
      <c r="F255" s="188" t="str">
        <f t="shared" si="18"/>
        <v/>
      </c>
      <c r="G255" s="182"/>
      <c r="H255" s="182"/>
      <c r="I255" s="182"/>
      <c r="K255" s="139" t="str">
        <f t="shared" si="19"/>
        <v/>
      </c>
      <c r="L255" s="139" t="str">
        <f t="shared" si="20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6"/>
        <v/>
      </c>
      <c r="D256" s="136" t="str">
        <f t="shared" si="17"/>
        <v/>
      </c>
      <c r="E256" s="148"/>
      <c r="F256" s="188" t="str">
        <f t="shared" si="18"/>
        <v/>
      </c>
      <c r="G256" s="182"/>
      <c r="H256" s="182"/>
      <c r="I256" s="182"/>
      <c r="K256" s="139" t="str">
        <f t="shared" si="19"/>
        <v/>
      </c>
      <c r="L256" s="139" t="str">
        <f t="shared" si="20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6"/>
        <v/>
      </c>
      <c r="D257" s="136" t="str">
        <f t="shared" si="17"/>
        <v/>
      </c>
      <c r="E257" s="148"/>
      <c r="F257" s="188" t="str">
        <f t="shared" si="18"/>
        <v/>
      </c>
      <c r="G257" s="182"/>
      <c r="H257" s="182"/>
      <c r="I257" s="182"/>
      <c r="K257" s="139" t="str">
        <f t="shared" si="19"/>
        <v/>
      </c>
      <c r="L257" s="139" t="str">
        <f t="shared" si="20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6"/>
        <v/>
      </c>
      <c r="D258" s="136" t="str">
        <f t="shared" si="17"/>
        <v/>
      </c>
      <c r="E258" s="148"/>
      <c r="F258" s="188" t="str">
        <f t="shared" si="18"/>
        <v/>
      </c>
      <c r="G258" s="182"/>
      <c r="H258" s="182"/>
      <c r="I258" s="182"/>
      <c r="K258" s="139" t="str">
        <f t="shared" si="19"/>
        <v/>
      </c>
      <c r="L258" s="139" t="str">
        <f t="shared" si="20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ref="C259:C322" si="21">IFERROR(VLOOKUP(E259,$Q$6:$T$104,3,FALSE),"")</f>
        <v/>
      </c>
      <c r="D259" s="136" t="str">
        <f t="shared" ref="D259:D322" si="22">IFERROR(VLOOKUP(E259,$Q$6:$T$104,4,FALSE),"")</f>
        <v/>
      </c>
      <c r="E259" s="148"/>
      <c r="F259" s="188" t="str">
        <f t="shared" ref="F259:F322" si="23">IFERROR(VLOOKUP(E259,$Q$6:$T$104,2,FALSE),"")</f>
        <v/>
      </c>
      <c r="G259" s="182"/>
      <c r="H259" s="182"/>
      <c r="I259" s="182"/>
      <c r="K259" s="139" t="str">
        <f t="shared" ref="K259:K322" si="24">LEFT(E259,3)</f>
        <v/>
      </c>
      <c r="L259" s="139" t="str">
        <f t="shared" ref="L259:L322" si="25">LEFT(E259,2)</f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si="21"/>
        <v/>
      </c>
      <c r="D260" s="136" t="str">
        <f t="shared" si="22"/>
        <v/>
      </c>
      <c r="E260" s="148"/>
      <c r="F260" s="188" t="str">
        <f t="shared" si="23"/>
        <v/>
      </c>
      <c r="G260" s="182"/>
      <c r="H260" s="182"/>
      <c r="I260" s="182"/>
      <c r="K260" s="139" t="str">
        <f t="shared" si="24"/>
        <v/>
      </c>
      <c r="L260" s="139" t="str">
        <f t="shared" si="25"/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1"/>
        <v/>
      </c>
      <c r="D261" s="136" t="str">
        <f t="shared" si="22"/>
        <v/>
      </c>
      <c r="E261" s="148"/>
      <c r="F261" s="188" t="str">
        <f t="shared" si="23"/>
        <v/>
      </c>
      <c r="G261" s="182"/>
      <c r="H261" s="182"/>
      <c r="I261" s="182"/>
      <c r="K261" s="139" t="str">
        <f t="shared" si="24"/>
        <v/>
      </c>
      <c r="L261" s="139" t="str">
        <f t="shared" si="25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1"/>
        <v/>
      </c>
      <c r="D262" s="136" t="str">
        <f t="shared" si="22"/>
        <v/>
      </c>
      <c r="E262" s="148"/>
      <c r="F262" s="188" t="str">
        <f t="shared" si="23"/>
        <v/>
      </c>
      <c r="G262" s="182"/>
      <c r="H262" s="182"/>
      <c r="I262" s="182"/>
      <c r="K262" s="139" t="str">
        <f t="shared" si="24"/>
        <v/>
      </c>
      <c r="L262" s="139" t="str">
        <f t="shared" si="25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1"/>
        <v/>
      </c>
      <c r="D263" s="136" t="str">
        <f t="shared" si="22"/>
        <v/>
      </c>
      <c r="E263" s="148"/>
      <c r="F263" s="188" t="str">
        <f t="shared" si="23"/>
        <v/>
      </c>
      <c r="G263" s="182"/>
      <c r="H263" s="182"/>
      <c r="I263" s="182"/>
      <c r="K263" s="139" t="str">
        <f t="shared" si="24"/>
        <v/>
      </c>
      <c r="L263" s="139" t="str">
        <f t="shared" si="25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1"/>
        <v/>
      </c>
      <c r="D264" s="136" t="str">
        <f t="shared" si="22"/>
        <v/>
      </c>
      <c r="E264" s="148"/>
      <c r="F264" s="188" t="str">
        <f t="shared" si="23"/>
        <v/>
      </c>
      <c r="G264" s="182"/>
      <c r="H264" s="182"/>
      <c r="I264" s="182"/>
      <c r="K264" s="139" t="str">
        <f t="shared" si="24"/>
        <v/>
      </c>
      <c r="L264" s="139" t="str">
        <f t="shared" si="25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1"/>
        <v/>
      </c>
      <c r="D265" s="136" t="str">
        <f t="shared" si="22"/>
        <v/>
      </c>
      <c r="E265" s="148"/>
      <c r="F265" s="188" t="str">
        <f t="shared" si="23"/>
        <v/>
      </c>
      <c r="G265" s="182"/>
      <c r="H265" s="182"/>
      <c r="I265" s="182"/>
      <c r="K265" s="139" t="str">
        <f t="shared" si="24"/>
        <v/>
      </c>
      <c r="L265" s="139" t="str">
        <f t="shared" si="25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1"/>
        <v/>
      </c>
      <c r="D266" s="136" t="str">
        <f t="shared" si="22"/>
        <v/>
      </c>
      <c r="E266" s="148"/>
      <c r="F266" s="188" t="str">
        <f t="shared" si="23"/>
        <v/>
      </c>
      <c r="G266" s="182"/>
      <c r="H266" s="182"/>
      <c r="I266" s="182"/>
      <c r="K266" s="139" t="str">
        <f t="shared" si="24"/>
        <v/>
      </c>
      <c r="L266" s="139" t="str">
        <f t="shared" si="25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1"/>
        <v/>
      </c>
      <c r="D267" s="136" t="str">
        <f t="shared" si="22"/>
        <v/>
      </c>
      <c r="E267" s="148"/>
      <c r="F267" s="188" t="str">
        <f t="shared" si="23"/>
        <v/>
      </c>
      <c r="G267" s="182"/>
      <c r="H267" s="182"/>
      <c r="I267" s="182"/>
      <c r="K267" s="139" t="str">
        <f t="shared" si="24"/>
        <v/>
      </c>
      <c r="L267" s="139" t="str">
        <f t="shared" si="25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1"/>
        <v/>
      </c>
      <c r="D268" s="136" t="str">
        <f t="shared" si="22"/>
        <v/>
      </c>
      <c r="E268" s="148"/>
      <c r="F268" s="188" t="str">
        <f t="shared" si="23"/>
        <v/>
      </c>
      <c r="G268" s="182"/>
      <c r="H268" s="182"/>
      <c r="I268" s="182"/>
      <c r="K268" s="139" t="str">
        <f t="shared" si="24"/>
        <v/>
      </c>
      <c r="L268" s="139" t="str">
        <f t="shared" si="25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1"/>
        <v/>
      </c>
      <c r="D269" s="136" t="str">
        <f t="shared" si="22"/>
        <v/>
      </c>
      <c r="E269" s="148"/>
      <c r="F269" s="188" t="str">
        <f t="shared" si="23"/>
        <v/>
      </c>
      <c r="G269" s="182"/>
      <c r="H269" s="182"/>
      <c r="I269" s="182"/>
      <c r="K269" s="139" t="str">
        <f t="shared" si="24"/>
        <v/>
      </c>
      <c r="L269" s="139" t="str">
        <f t="shared" si="25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1"/>
        <v/>
      </c>
      <c r="D270" s="136" t="str">
        <f t="shared" si="22"/>
        <v/>
      </c>
      <c r="E270" s="148"/>
      <c r="F270" s="188" t="str">
        <f t="shared" si="23"/>
        <v/>
      </c>
      <c r="G270" s="182"/>
      <c r="H270" s="182"/>
      <c r="I270" s="182"/>
      <c r="K270" s="139" t="str">
        <f t="shared" si="24"/>
        <v/>
      </c>
      <c r="L270" s="139" t="str">
        <f t="shared" si="25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1"/>
        <v/>
      </c>
      <c r="D271" s="136" t="str">
        <f t="shared" si="22"/>
        <v/>
      </c>
      <c r="E271" s="148"/>
      <c r="F271" s="188" t="str">
        <f t="shared" si="23"/>
        <v/>
      </c>
      <c r="G271" s="182"/>
      <c r="H271" s="182"/>
      <c r="I271" s="182"/>
      <c r="K271" s="139" t="str">
        <f t="shared" si="24"/>
        <v/>
      </c>
      <c r="L271" s="139" t="str">
        <f t="shared" si="25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1"/>
        <v/>
      </c>
      <c r="D272" s="136" t="str">
        <f t="shared" si="22"/>
        <v/>
      </c>
      <c r="E272" s="148"/>
      <c r="F272" s="188" t="str">
        <f t="shared" si="23"/>
        <v/>
      </c>
      <c r="G272" s="182"/>
      <c r="H272" s="182"/>
      <c r="I272" s="182"/>
      <c r="K272" s="139" t="str">
        <f t="shared" si="24"/>
        <v/>
      </c>
      <c r="L272" s="139" t="str">
        <f t="shared" si="25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1"/>
        <v/>
      </c>
      <c r="D273" s="136" t="str">
        <f t="shared" si="22"/>
        <v/>
      </c>
      <c r="E273" s="148"/>
      <c r="F273" s="188" t="str">
        <f t="shared" si="23"/>
        <v/>
      </c>
      <c r="G273" s="182"/>
      <c r="H273" s="182"/>
      <c r="I273" s="182"/>
      <c r="K273" s="139" t="str">
        <f t="shared" si="24"/>
        <v/>
      </c>
      <c r="L273" s="139" t="str">
        <f t="shared" si="25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1"/>
        <v/>
      </c>
      <c r="D274" s="136" t="str">
        <f t="shared" si="22"/>
        <v/>
      </c>
      <c r="E274" s="148"/>
      <c r="F274" s="188" t="str">
        <f t="shared" si="23"/>
        <v/>
      </c>
      <c r="G274" s="182"/>
      <c r="H274" s="182"/>
      <c r="I274" s="182"/>
      <c r="K274" s="139" t="str">
        <f t="shared" si="24"/>
        <v/>
      </c>
      <c r="L274" s="139" t="str">
        <f t="shared" si="25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1"/>
        <v/>
      </c>
      <c r="D275" s="136" t="str">
        <f t="shared" si="22"/>
        <v/>
      </c>
      <c r="E275" s="148"/>
      <c r="F275" s="188" t="str">
        <f t="shared" si="23"/>
        <v/>
      </c>
      <c r="G275" s="182"/>
      <c r="H275" s="182"/>
      <c r="I275" s="182"/>
      <c r="K275" s="139" t="str">
        <f t="shared" si="24"/>
        <v/>
      </c>
      <c r="L275" s="139" t="str">
        <f t="shared" si="25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1"/>
        <v/>
      </c>
      <c r="D276" s="136" t="str">
        <f t="shared" si="22"/>
        <v/>
      </c>
      <c r="E276" s="148"/>
      <c r="F276" s="188" t="str">
        <f t="shared" si="23"/>
        <v/>
      </c>
      <c r="G276" s="182"/>
      <c r="H276" s="182"/>
      <c r="I276" s="182"/>
      <c r="K276" s="139" t="str">
        <f t="shared" si="24"/>
        <v/>
      </c>
      <c r="L276" s="139" t="str">
        <f t="shared" si="25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1"/>
        <v/>
      </c>
      <c r="D277" s="136" t="str">
        <f t="shared" si="22"/>
        <v/>
      </c>
      <c r="E277" s="148"/>
      <c r="F277" s="188" t="str">
        <f t="shared" si="23"/>
        <v/>
      </c>
      <c r="G277" s="182"/>
      <c r="H277" s="182"/>
      <c r="I277" s="182"/>
      <c r="K277" s="139" t="str">
        <f t="shared" si="24"/>
        <v/>
      </c>
      <c r="L277" s="139" t="str">
        <f t="shared" si="25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1"/>
        <v/>
      </c>
      <c r="D278" s="136" t="str">
        <f t="shared" si="22"/>
        <v/>
      </c>
      <c r="E278" s="148"/>
      <c r="F278" s="188" t="str">
        <f t="shared" si="23"/>
        <v/>
      </c>
      <c r="G278" s="182"/>
      <c r="H278" s="182"/>
      <c r="I278" s="182"/>
      <c r="K278" s="139" t="str">
        <f t="shared" si="24"/>
        <v/>
      </c>
      <c r="L278" s="139" t="str">
        <f t="shared" si="25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1"/>
        <v/>
      </c>
      <c r="D279" s="136" t="str">
        <f t="shared" si="22"/>
        <v/>
      </c>
      <c r="E279" s="148"/>
      <c r="F279" s="188" t="str">
        <f t="shared" si="23"/>
        <v/>
      </c>
      <c r="G279" s="182"/>
      <c r="H279" s="182"/>
      <c r="I279" s="182"/>
      <c r="K279" s="139" t="str">
        <f t="shared" si="24"/>
        <v/>
      </c>
      <c r="L279" s="139" t="str">
        <f t="shared" si="25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1"/>
        <v/>
      </c>
      <c r="D280" s="136" t="str">
        <f t="shared" si="22"/>
        <v/>
      </c>
      <c r="E280" s="148"/>
      <c r="F280" s="188" t="str">
        <f t="shared" si="23"/>
        <v/>
      </c>
      <c r="G280" s="182"/>
      <c r="H280" s="182"/>
      <c r="I280" s="182"/>
      <c r="K280" s="139" t="str">
        <f t="shared" si="24"/>
        <v/>
      </c>
      <c r="L280" s="139" t="str">
        <f t="shared" si="25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1"/>
        <v/>
      </c>
      <c r="D281" s="136" t="str">
        <f t="shared" si="22"/>
        <v/>
      </c>
      <c r="E281" s="148"/>
      <c r="F281" s="188" t="str">
        <f t="shared" si="23"/>
        <v/>
      </c>
      <c r="G281" s="182"/>
      <c r="H281" s="182"/>
      <c r="I281" s="182"/>
      <c r="K281" s="139" t="str">
        <f t="shared" si="24"/>
        <v/>
      </c>
      <c r="L281" s="139" t="str">
        <f t="shared" si="25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1"/>
        <v/>
      </c>
      <c r="D282" s="136" t="str">
        <f t="shared" si="22"/>
        <v/>
      </c>
      <c r="E282" s="148"/>
      <c r="F282" s="188" t="str">
        <f t="shared" si="23"/>
        <v/>
      </c>
      <c r="G282" s="182"/>
      <c r="H282" s="182"/>
      <c r="I282" s="182"/>
      <c r="K282" s="139" t="str">
        <f t="shared" si="24"/>
        <v/>
      </c>
      <c r="L282" s="139" t="str">
        <f t="shared" si="25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1"/>
        <v/>
      </c>
      <c r="D283" s="136" t="str">
        <f t="shared" si="22"/>
        <v/>
      </c>
      <c r="E283" s="148"/>
      <c r="F283" s="188" t="str">
        <f t="shared" si="23"/>
        <v/>
      </c>
      <c r="G283" s="182"/>
      <c r="H283" s="182"/>
      <c r="I283" s="182"/>
      <c r="K283" s="139" t="str">
        <f t="shared" si="24"/>
        <v/>
      </c>
      <c r="L283" s="139" t="str">
        <f t="shared" si="25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1"/>
        <v/>
      </c>
      <c r="D284" s="136" t="str">
        <f t="shared" si="22"/>
        <v/>
      </c>
      <c r="E284" s="148"/>
      <c r="F284" s="188" t="str">
        <f t="shared" si="23"/>
        <v/>
      </c>
      <c r="G284" s="182"/>
      <c r="H284" s="182"/>
      <c r="I284" s="182"/>
      <c r="K284" s="139" t="str">
        <f t="shared" si="24"/>
        <v/>
      </c>
      <c r="L284" s="139" t="str">
        <f t="shared" si="25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1"/>
        <v/>
      </c>
      <c r="D285" s="136" t="str">
        <f t="shared" si="22"/>
        <v/>
      </c>
      <c r="E285" s="148"/>
      <c r="F285" s="188" t="str">
        <f t="shared" si="23"/>
        <v/>
      </c>
      <c r="G285" s="182"/>
      <c r="H285" s="182"/>
      <c r="I285" s="182"/>
      <c r="K285" s="139" t="str">
        <f t="shared" si="24"/>
        <v/>
      </c>
      <c r="L285" s="139" t="str">
        <f t="shared" si="25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1"/>
        <v/>
      </c>
      <c r="D286" s="136" t="str">
        <f t="shared" si="22"/>
        <v/>
      </c>
      <c r="E286" s="148"/>
      <c r="F286" s="188" t="str">
        <f t="shared" si="23"/>
        <v/>
      </c>
      <c r="G286" s="182"/>
      <c r="H286" s="182"/>
      <c r="I286" s="182"/>
      <c r="K286" s="139" t="str">
        <f t="shared" si="24"/>
        <v/>
      </c>
      <c r="L286" s="139" t="str">
        <f t="shared" si="25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1"/>
        <v/>
      </c>
      <c r="D287" s="136" t="str">
        <f t="shared" si="22"/>
        <v/>
      </c>
      <c r="E287" s="148"/>
      <c r="F287" s="188" t="str">
        <f t="shared" si="23"/>
        <v/>
      </c>
      <c r="G287" s="182"/>
      <c r="H287" s="182"/>
      <c r="I287" s="182"/>
      <c r="K287" s="139" t="str">
        <f t="shared" si="24"/>
        <v/>
      </c>
      <c r="L287" s="139" t="str">
        <f t="shared" si="25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1"/>
        <v/>
      </c>
      <c r="D288" s="136" t="str">
        <f t="shared" si="22"/>
        <v/>
      </c>
      <c r="E288" s="148"/>
      <c r="F288" s="188" t="str">
        <f t="shared" si="23"/>
        <v/>
      </c>
      <c r="G288" s="182"/>
      <c r="H288" s="182"/>
      <c r="I288" s="182"/>
      <c r="K288" s="139" t="str">
        <f t="shared" si="24"/>
        <v/>
      </c>
      <c r="L288" s="139" t="str">
        <f t="shared" si="25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1"/>
        <v/>
      </c>
      <c r="D289" s="136" t="str">
        <f t="shared" si="22"/>
        <v/>
      </c>
      <c r="E289" s="148"/>
      <c r="F289" s="188" t="str">
        <f t="shared" si="23"/>
        <v/>
      </c>
      <c r="G289" s="182"/>
      <c r="H289" s="182"/>
      <c r="I289" s="182"/>
      <c r="K289" s="139" t="str">
        <f t="shared" si="24"/>
        <v/>
      </c>
      <c r="L289" s="139" t="str">
        <f t="shared" si="25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1"/>
        <v/>
      </c>
      <c r="D290" s="136" t="str">
        <f t="shared" si="22"/>
        <v/>
      </c>
      <c r="E290" s="148"/>
      <c r="F290" s="188" t="str">
        <f t="shared" si="23"/>
        <v/>
      </c>
      <c r="G290" s="182"/>
      <c r="H290" s="182"/>
      <c r="I290" s="182"/>
      <c r="K290" s="139" t="str">
        <f t="shared" si="24"/>
        <v/>
      </c>
      <c r="L290" s="139" t="str">
        <f t="shared" si="25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1"/>
        <v/>
      </c>
      <c r="D291" s="136" t="str">
        <f t="shared" si="22"/>
        <v/>
      </c>
      <c r="E291" s="148"/>
      <c r="F291" s="188" t="str">
        <f t="shared" si="23"/>
        <v/>
      </c>
      <c r="G291" s="182"/>
      <c r="H291" s="182"/>
      <c r="I291" s="182"/>
      <c r="K291" s="139" t="str">
        <f t="shared" si="24"/>
        <v/>
      </c>
      <c r="L291" s="139" t="str">
        <f t="shared" si="25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1"/>
        <v/>
      </c>
      <c r="D292" s="136" t="str">
        <f t="shared" si="22"/>
        <v/>
      </c>
      <c r="E292" s="148"/>
      <c r="F292" s="188" t="str">
        <f t="shared" si="23"/>
        <v/>
      </c>
      <c r="G292" s="182"/>
      <c r="H292" s="182"/>
      <c r="I292" s="182"/>
      <c r="K292" s="139" t="str">
        <f t="shared" si="24"/>
        <v/>
      </c>
      <c r="L292" s="139" t="str">
        <f t="shared" si="25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1"/>
        <v/>
      </c>
      <c r="D293" s="136" t="str">
        <f t="shared" si="22"/>
        <v/>
      </c>
      <c r="E293" s="148"/>
      <c r="F293" s="188" t="str">
        <f t="shared" si="23"/>
        <v/>
      </c>
      <c r="G293" s="182"/>
      <c r="H293" s="182"/>
      <c r="I293" s="182"/>
      <c r="K293" s="139" t="str">
        <f t="shared" si="24"/>
        <v/>
      </c>
      <c r="L293" s="139" t="str">
        <f t="shared" si="25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1"/>
        <v/>
      </c>
      <c r="D294" s="136" t="str">
        <f t="shared" si="22"/>
        <v/>
      </c>
      <c r="E294" s="148"/>
      <c r="F294" s="188" t="str">
        <f t="shared" si="23"/>
        <v/>
      </c>
      <c r="G294" s="182"/>
      <c r="H294" s="182"/>
      <c r="I294" s="182"/>
      <c r="K294" s="139" t="str">
        <f t="shared" si="24"/>
        <v/>
      </c>
      <c r="L294" s="139" t="str">
        <f t="shared" si="25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1"/>
        <v/>
      </c>
      <c r="D295" s="136" t="str">
        <f t="shared" si="22"/>
        <v/>
      </c>
      <c r="E295" s="148"/>
      <c r="F295" s="188" t="str">
        <f t="shared" si="23"/>
        <v/>
      </c>
      <c r="G295" s="182"/>
      <c r="H295" s="182"/>
      <c r="I295" s="182"/>
      <c r="K295" s="139" t="str">
        <f t="shared" si="24"/>
        <v/>
      </c>
      <c r="L295" s="139" t="str">
        <f t="shared" si="25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1"/>
        <v/>
      </c>
      <c r="D296" s="136" t="str">
        <f t="shared" si="22"/>
        <v/>
      </c>
      <c r="E296" s="148"/>
      <c r="F296" s="188" t="str">
        <f t="shared" si="23"/>
        <v/>
      </c>
      <c r="G296" s="182"/>
      <c r="H296" s="182"/>
      <c r="I296" s="182"/>
      <c r="K296" s="139" t="str">
        <f t="shared" si="24"/>
        <v/>
      </c>
      <c r="L296" s="139" t="str">
        <f t="shared" si="25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1"/>
        <v/>
      </c>
      <c r="D297" s="136" t="str">
        <f t="shared" si="22"/>
        <v/>
      </c>
      <c r="E297" s="148"/>
      <c r="F297" s="188" t="str">
        <f t="shared" si="23"/>
        <v/>
      </c>
      <c r="G297" s="182"/>
      <c r="H297" s="182"/>
      <c r="I297" s="182"/>
      <c r="K297" s="139" t="str">
        <f t="shared" si="24"/>
        <v/>
      </c>
      <c r="L297" s="139" t="str">
        <f t="shared" si="25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1"/>
        <v/>
      </c>
      <c r="D298" s="136" t="str">
        <f t="shared" si="22"/>
        <v/>
      </c>
      <c r="E298" s="148"/>
      <c r="F298" s="188" t="str">
        <f t="shared" si="23"/>
        <v/>
      </c>
      <c r="G298" s="182"/>
      <c r="H298" s="182"/>
      <c r="I298" s="182"/>
      <c r="K298" s="139" t="str">
        <f t="shared" si="24"/>
        <v/>
      </c>
      <c r="L298" s="139" t="str">
        <f t="shared" si="25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1"/>
        <v/>
      </c>
      <c r="D299" s="136" t="str">
        <f t="shared" si="22"/>
        <v/>
      </c>
      <c r="E299" s="148"/>
      <c r="F299" s="188" t="str">
        <f t="shared" si="23"/>
        <v/>
      </c>
      <c r="G299" s="182"/>
      <c r="H299" s="182"/>
      <c r="I299" s="182"/>
      <c r="K299" s="139" t="str">
        <f t="shared" si="24"/>
        <v/>
      </c>
      <c r="L299" s="139" t="str">
        <f t="shared" si="25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1"/>
        <v/>
      </c>
      <c r="D300" s="136" t="str">
        <f t="shared" si="22"/>
        <v/>
      </c>
      <c r="E300" s="148"/>
      <c r="F300" s="188" t="str">
        <f t="shared" si="23"/>
        <v/>
      </c>
      <c r="G300" s="182"/>
      <c r="H300" s="182"/>
      <c r="I300" s="182"/>
      <c r="K300" s="139" t="str">
        <f t="shared" si="24"/>
        <v/>
      </c>
      <c r="L300" s="139" t="str">
        <f t="shared" si="25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1"/>
        <v/>
      </c>
      <c r="D301" s="136" t="str">
        <f t="shared" si="22"/>
        <v/>
      </c>
      <c r="E301" s="148"/>
      <c r="F301" s="188" t="str">
        <f t="shared" si="23"/>
        <v/>
      </c>
      <c r="G301" s="182"/>
      <c r="H301" s="182"/>
      <c r="I301" s="182"/>
      <c r="K301" s="139" t="str">
        <f t="shared" si="24"/>
        <v/>
      </c>
      <c r="L301" s="139" t="str">
        <f t="shared" si="25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1"/>
        <v/>
      </c>
      <c r="D302" s="136" t="str">
        <f t="shared" si="22"/>
        <v/>
      </c>
      <c r="E302" s="148"/>
      <c r="F302" s="188" t="str">
        <f t="shared" si="23"/>
        <v/>
      </c>
      <c r="G302" s="182"/>
      <c r="H302" s="182"/>
      <c r="I302" s="182"/>
      <c r="K302" s="139" t="str">
        <f t="shared" si="24"/>
        <v/>
      </c>
      <c r="L302" s="139" t="str">
        <f t="shared" si="25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1"/>
        <v/>
      </c>
      <c r="D303" s="136" t="str">
        <f t="shared" si="22"/>
        <v/>
      </c>
      <c r="E303" s="148"/>
      <c r="F303" s="188" t="str">
        <f t="shared" si="23"/>
        <v/>
      </c>
      <c r="G303" s="182"/>
      <c r="H303" s="182"/>
      <c r="I303" s="182"/>
      <c r="K303" s="139" t="str">
        <f t="shared" si="24"/>
        <v/>
      </c>
      <c r="L303" s="139" t="str">
        <f t="shared" si="25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1"/>
        <v/>
      </c>
      <c r="D304" s="136" t="str">
        <f t="shared" si="22"/>
        <v/>
      </c>
      <c r="E304" s="148"/>
      <c r="F304" s="188" t="str">
        <f t="shared" si="23"/>
        <v/>
      </c>
      <c r="G304" s="182"/>
      <c r="H304" s="182"/>
      <c r="I304" s="182"/>
      <c r="K304" s="139" t="str">
        <f t="shared" si="24"/>
        <v/>
      </c>
      <c r="L304" s="139" t="str">
        <f t="shared" si="25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1"/>
        <v/>
      </c>
      <c r="D305" s="136" t="str">
        <f t="shared" si="22"/>
        <v/>
      </c>
      <c r="E305" s="148"/>
      <c r="F305" s="188" t="str">
        <f t="shared" si="23"/>
        <v/>
      </c>
      <c r="G305" s="182"/>
      <c r="H305" s="182"/>
      <c r="I305" s="182"/>
      <c r="K305" s="139" t="str">
        <f t="shared" si="24"/>
        <v/>
      </c>
      <c r="L305" s="139" t="str">
        <f t="shared" si="25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1"/>
        <v/>
      </c>
      <c r="D306" s="136" t="str">
        <f t="shared" si="22"/>
        <v/>
      </c>
      <c r="E306" s="148"/>
      <c r="F306" s="188" t="str">
        <f t="shared" si="23"/>
        <v/>
      </c>
      <c r="G306" s="182"/>
      <c r="H306" s="182"/>
      <c r="I306" s="182"/>
      <c r="K306" s="139" t="str">
        <f t="shared" si="24"/>
        <v/>
      </c>
      <c r="L306" s="139" t="str">
        <f t="shared" si="25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1"/>
        <v/>
      </c>
      <c r="D307" s="136" t="str">
        <f t="shared" si="22"/>
        <v/>
      </c>
      <c r="E307" s="148"/>
      <c r="F307" s="188" t="str">
        <f t="shared" si="23"/>
        <v/>
      </c>
      <c r="G307" s="182"/>
      <c r="H307" s="182"/>
      <c r="I307" s="182"/>
      <c r="K307" s="139" t="str">
        <f t="shared" si="24"/>
        <v/>
      </c>
      <c r="L307" s="139" t="str">
        <f t="shared" si="25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1"/>
        <v/>
      </c>
      <c r="D308" s="136" t="str">
        <f t="shared" si="22"/>
        <v/>
      </c>
      <c r="E308" s="148"/>
      <c r="F308" s="188" t="str">
        <f t="shared" si="23"/>
        <v/>
      </c>
      <c r="G308" s="182"/>
      <c r="H308" s="182"/>
      <c r="I308" s="182"/>
      <c r="K308" s="139" t="str">
        <f t="shared" si="24"/>
        <v/>
      </c>
      <c r="L308" s="139" t="str">
        <f t="shared" si="25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1"/>
        <v/>
      </c>
      <c r="D309" s="136" t="str">
        <f t="shared" si="22"/>
        <v/>
      </c>
      <c r="E309" s="148"/>
      <c r="F309" s="188" t="str">
        <f t="shared" si="23"/>
        <v/>
      </c>
      <c r="G309" s="182"/>
      <c r="H309" s="182"/>
      <c r="I309" s="182"/>
      <c r="K309" s="139" t="str">
        <f t="shared" si="24"/>
        <v/>
      </c>
      <c r="L309" s="139" t="str">
        <f t="shared" si="25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1"/>
        <v/>
      </c>
      <c r="D310" s="136" t="str">
        <f t="shared" si="22"/>
        <v/>
      </c>
      <c r="E310" s="148"/>
      <c r="F310" s="188" t="str">
        <f t="shared" si="23"/>
        <v/>
      </c>
      <c r="G310" s="182"/>
      <c r="H310" s="182"/>
      <c r="I310" s="182"/>
      <c r="K310" s="139" t="str">
        <f t="shared" si="24"/>
        <v/>
      </c>
      <c r="L310" s="139" t="str">
        <f t="shared" si="25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1"/>
        <v/>
      </c>
      <c r="D311" s="136" t="str">
        <f t="shared" si="22"/>
        <v/>
      </c>
      <c r="E311" s="148"/>
      <c r="F311" s="188" t="str">
        <f t="shared" si="23"/>
        <v/>
      </c>
      <c r="G311" s="182"/>
      <c r="H311" s="182"/>
      <c r="I311" s="182"/>
      <c r="K311" s="139" t="str">
        <f t="shared" si="24"/>
        <v/>
      </c>
      <c r="L311" s="139" t="str">
        <f t="shared" si="25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1"/>
        <v/>
      </c>
      <c r="D312" s="136" t="str">
        <f t="shared" si="22"/>
        <v/>
      </c>
      <c r="E312" s="148"/>
      <c r="F312" s="188" t="str">
        <f t="shared" si="23"/>
        <v/>
      </c>
      <c r="G312" s="182"/>
      <c r="H312" s="182"/>
      <c r="I312" s="182"/>
      <c r="K312" s="139" t="str">
        <f t="shared" si="24"/>
        <v/>
      </c>
      <c r="L312" s="139" t="str">
        <f t="shared" si="25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1"/>
        <v/>
      </c>
      <c r="D313" s="136" t="str">
        <f t="shared" si="22"/>
        <v/>
      </c>
      <c r="E313" s="148"/>
      <c r="F313" s="188" t="str">
        <f t="shared" si="23"/>
        <v/>
      </c>
      <c r="G313" s="182"/>
      <c r="H313" s="182"/>
      <c r="I313" s="182"/>
      <c r="K313" s="139" t="str">
        <f t="shared" si="24"/>
        <v/>
      </c>
      <c r="L313" s="139" t="str">
        <f t="shared" si="25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1"/>
        <v/>
      </c>
      <c r="D314" s="136" t="str">
        <f t="shared" si="22"/>
        <v/>
      </c>
      <c r="E314" s="148"/>
      <c r="F314" s="188" t="str">
        <f t="shared" si="23"/>
        <v/>
      </c>
      <c r="G314" s="182"/>
      <c r="H314" s="182"/>
      <c r="I314" s="182"/>
      <c r="K314" s="139" t="str">
        <f t="shared" si="24"/>
        <v/>
      </c>
      <c r="L314" s="139" t="str">
        <f t="shared" si="25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1"/>
        <v/>
      </c>
      <c r="D315" s="136" t="str">
        <f t="shared" si="22"/>
        <v/>
      </c>
      <c r="E315" s="148"/>
      <c r="F315" s="188" t="str">
        <f t="shared" si="23"/>
        <v/>
      </c>
      <c r="G315" s="182"/>
      <c r="H315" s="182"/>
      <c r="I315" s="182"/>
      <c r="K315" s="139" t="str">
        <f t="shared" si="24"/>
        <v/>
      </c>
      <c r="L315" s="139" t="str">
        <f t="shared" si="25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1"/>
        <v/>
      </c>
      <c r="D316" s="136" t="str">
        <f t="shared" si="22"/>
        <v/>
      </c>
      <c r="E316" s="148"/>
      <c r="F316" s="188" t="str">
        <f t="shared" si="23"/>
        <v/>
      </c>
      <c r="G316" s="182"/>
      <c r="H316" s="182"/>
      <c r="I316" s="182"/>
      <c r="K316" s="139" t="str">
        <f t="shared" si="24"/>
        <v/>
      </c>
      <c r="L316" s="139" t="str">
        <f t="shared" si="25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1"/>
        <v/>
      </c>
      <c r="D317" s="136" t="str">
        <f t="shared" si="22"/>
        <v/>
      </c>
      <c r="E317" s="148"/>
      <c r="F317" s="188" t="str">
        <f t="shared" si="23"/>
        <v/>
      </c>
      <c r="G317" s="182"/>
      <c r="H317" s="182"/>
      <c r="I317" s="182"/>
      <c r="K317" s="139" t="str">
        <f t="shared" si="24"/>
        <v/>
      </c>
      <c r="L317" s="139" t="str">
        <f t="shared" si="25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1"/>
        <v/>
      </c>
      <c r="D318" s="136" t="str">
        <f t="shared" si="22"/>
        <v/>
      </c>
      <c r="E318" s="148"/>
      <c r="F318" s="188" t="str">
        <f t="shared" si="23"/>
        <v/>
      </c>
      <c r="G318" s="182"/>
      <c r="H318" s="182"/>
      <c r="I318" s="182"/>
      <c r="K318" s="139" t="str">
        <f t="shared" si="24"/>
        <v/>
      </c>
      <c r="L318" s="139" t="str">
        <f t="shared" si="25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1"/>
        <v/>
      </c>
      <c r="D319" s="136" t="str">
        <f t="shared" si="22"/>
        <v/>
      </c>
      <c r="E319" s="148"/>
      <c r="F319" s="188" t="str">
        <f t="shared" si="23"/>
        <v/>
      </c>
      <c r="G319" s="182"/>
      <c r="H319" s="182"/>
      <c r="I319" s="182"/>
      <c r="K319" s="139" t="str">
        <f t="shared" si="24"/>
        <v/>
      </c>
      <c r="L319" s="139" t="str">
        <f t="shared" si="25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1"/>
        <v/>
      </c>
      <c r="D320" s="136" t="str">
        <f t="shared" si="22"/>
        <v/>
      </c>
      <c r="E320" s="148"/>
      <c r="F320" s="188" t="str">
        <f t="shared" si="23"/>
        <v/>
      </c>
      <c r="G320" s="182"/>
      <c r="H320" s="182"/>
      <c r="I320" s="182"/>
      <c r="K320" s="139" t="str">
        <f t="shared" si="24"/>
        <v/>
      </c>
      <c r="L320" s="139" t="str">
        <f t="shared" si="25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1"/>
        <v/>
      </c>
      <c r="D321" s="136" t="str">
        <f t="shared" si="22"/>
        <v/>
      </c>
      <c r="E321" s="148"/>
      <c r="F321" s="188" t="str">
        <f t="shared" si="23"/>
        <v/>
      </c>
      <c r="G321" s="182"/>
      <c r="H321" s="182"/>
      <c r="I321" s="182"/>
      <c r="K321" s="139" t="str">
        <f t="shared" si="24"/>
        <v/>
      </c>
      <c r="L321" s="139" t="str">
        <f t="shared" si="25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1"/>
        <v/>
      </c>
      <c r="D322" s="136" t="str">
        <f t="shared" si="22"/>
        <v/>
      </c>
      <c r="E322" s="148"/>
      <c r="F322" s="188" t="str">
        <f t="shared" si="23"/>
        <v/>
      </c>
      <c r="G322" s="182"/>
      <c r="H322" s="182"/>
      <c r="I322" s="182"/>
      <c r="K322" s="139" t="str">
        <f t="shared" si="24"/>
        <v/>
      </c>
      <c r="L322" s="139" t="str">
        <f t="shared" si="25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ref="C323:C386" si="26">IFERROR(VLOOKUP(E323,$Q$6:$T$104,3,FALSE),"")</f>
        <v/>
      </c>
      <c r="D323" s="136" t="str">
        <f t="shared" ref="D323:D386" si="27">IFERROR(VLOOKUP(E323,$Q$6:$T$104,4,FALSE),"")</f>
        <v/>
      </c>
      <c r="E323" s="148"/>
      <c r="F323" s="188" t="str">
        <f t="shared" ref="F323:F386" si="28">IFERROR(VLOOKUP(E323,$Q$6:$T$104,2,FALSE),"")</f>
        <v/>
      </c>
      <c r="G323" s="182"/>
      <c r="H323" s="182"/>
      <c r="I323" s="182"/>
      <c r="K323" s="139" t="str">
        <f t="shared" ref="K323:K386" si="29">LEFT(E323,3)</f>
        <v/>
      </c>
      <c r="L323" s="139" t="str">
        <f t="shared" ref="L323:L386" si="30">LEFT(E323,2)</f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si="26"/>
        <v/>
      </c>
      <c r="D324" s="136" t="str">
        <f t="shared" si="27"/>
        <v/>
      </c>
      <c r="E324" s="148"/>
      <c r="F324" s="188" t="str">
        <f t="shared" si="28"/>
        <v/>
      </c>
      <c r="G324" s="182"/>
      <c r="H324" s="182"/>
      <c r="I324" s="182"/>
      <c r="K324" s="139" t="str">
        <f t="shared" si="29"/>
        <v/>
      </c>
      <c r="L324" s="139" t="str">
        <f t="shared" si="30"/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6"/>
        <v/>
      </c>
      <c r="D325" s="136" t="str">
        <f t="shared" si="27"/>
        <v/>
      </c>
      <c r="E325" s="148"/>
      <c r="F325" s="188" t="str">
        <f t="shared" si="28"/>
        <v/>
      </c>
      <c r="G325" s="182"/>
      <c r="H325" s="182"/>
      <c r="I325" s="182"/>
      <c r="K325" s="139" t="str">
        <f t="shared" si="29"/>
        <v/>
      </c>
      <c r="L325" s="139" t="str">
        <f t="shared" si="30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6"/>
        <v/>
      </c>
      <c r="D326" s="136" t="str">
        <f t="shared" si="27"/>
        <v/>
      </c>
      <c r="E326" s="148"/>
      <c r="F326" s="188" t="str">
        <f t="shared" si="28"/>
        <v/>
      </c>
      <c r="G326" s="182"/>
      <c r="H326" s="182"/>
      <c r="I326" s="182"/>
      <c r="K326" s="139" t="str">
        <f t="shared" si="29"/>
        <v/>
      </c>
      <c r="L326" s="139" t="str">
        <f t="shared" si="30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6"/>
        <v/>
      </c>
      <c r="D327" s="136" t="str">
        <f t="shared" si="27"/>
        <v/>
      </c>
      <c r="E327" s="148"/>
      <c r="F327" s="188" t="str">
        <f t="shared" si="28"/>
        <v/>
      </c>
      <c r="G327" s="182"/>
      <c r="H327" s="182"/>
      <c r="I327" s="182"/>
      <c r="K327" s="139" t="str">
        <f t="shared" si="29"/>
        <v/>
      </c>
      <c r="L327" s="139" t="str">
        <f t="shared" si="30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6"/>
        <v/>
      </c>
      <c r="D328" s="136" t="str">
        <f t="shared" si="27"/>
        <v/>
      </c>
      <c r="E328" s="148"/>
      <c r="F328" s="188" t="str">
        <f t="shared" si="28"/>
        <v/>
      </c>
      <c r="G328" s="182"/>
      <c r="H328" s="182"/>
      <c r="I328" s="182"/>
      <c r="K328" s="139" t="str">
        <f t="shared" si="29"/>
        <v/>
      </c>
      <c r="L328" s="139" t="str">
        <f t="shared" si="30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6"/>
        <v/>
      </c>
      <c r="D329" s="136" t="str">
        <f t="shared" si="27"/>
        <v/>
      </c>
      <c r="E329" s="148"/>
      <c r="F329" s="188" t="str">
        <f t="shared" si="28"/>
        <v/>
      </c>
      <c r="G329" s="182"/>
      <c r="H329" s="182"/>
      <c r="I329" s="182"/>
      <c r="K329" s="139" t="str">
        <f t="shared" si="29"/>
        <v/>
      </c>
      <c r="L329" s="139" t="str">
        <f t="shared" si="30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6"/>
        <v/>
      </c>
      <c r="D330" s="136" t="str">
        <f t="shared" si="27"/>
        <v/>
      </c>
      <c r="E330" s="148"/>
      <c r="F330" s="188" t="str">
        <f t="shared" si="28"/>
        <v/>
      </c>
      <c r="G330" s="182"/>
      <c r="H330" s="182"/>
      <c r="I330" s="182"/>
      <c r="K330" s="139" t="str">
        <f t="shared" si="29"/>
        <v/>
      </c>
      <c r="L330" s="139" t="str">
        <f t="shared" si="30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6"/>
        <v/>
      </c>
      <c r="D331" s="136" t="str">
        <f t="shared" si="27"/>
        <v/>
      </c>
      <c r="E331" s="148"/>
      <c r="F331" s="188" t="str">
        <f t="shared" si="28"/>
        <v/>
      </c>
      <c r="G331" s="182"/>
      <c r="H331" s="182"/>
      <c r="I331" s="182"/>
      <c r="K331" s="139" t="str">
        <f t="shared" si="29"/>
        <v/>
      </c>
      <c r="L331" s="139" t="str">
        <f t="shared" si="30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6"/>
        <v/>
      </c>
      <c r="D332" s="136" t="str">
        <f t="shared" si="27"/>
        <v/>
      </c>
      <c r="E332" s="148"/>
      <c r="F332" s="188" t="str">
        <f t="shared" si="28"/>
        <v/>
      </c>
      <c r="G332" s="182"/>
      <c r="H332" s="182"/>
      <c r="I332" s="182"/>
      <c r="K332" s="139" t="str">
        <f t="shared" si="29"/>
        <v/>
      </c>
      <c r="L332" s="139" t="str">
        <f t="shared" si="30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6"/>
        <v/>
      </c>
      <c r="D333" s="136" t="str">
        <f t="shared" si="27"/>
        <v/>
      </c>
      <c r="E333" s="148"/>
      <c r="F333" s="188" t="str">
        <f t="shared" si="28"/>
        <v/>
      </c>
      <c r="G333" s="182"/>
      <c r="H333" s="182"/>
      <c r="I333" s="182"/>
      <c r="K333" s="139" t="str">
        <f t="shared" si="29"/>
        <v/>
      </c>
      <c r="L333" s="139" t="str">
        <f t="shared" si="30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6"/>
        <v/>
      </c>
      <c r="D334" s="136" t="str">
        <f t="shared" si="27"/>
        <v/>
      </c>
      <c r="E334" s="148"/>
      <c r="F334" s="188" t="str">
        <f t="shared" si="28"/>
        <v/>
      </c>
      <c r="G334" s="182"/>
      <c r="H334" s="182"/>
      <c r="I334" s="182"/>
      <c r="K334" s="139" t="str">
        <f t="shared" si="29"/>
        <v/>
      </c>
      <c r="L334" s="139" t="str">
        <f t="shared" si="30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6"/>
        <v/>
      </c>
      <c r="D335" s="136" t="str">
        <f t="shared" si="27"/>
        <v/>
      </c>
      <c r="E335" s="148"/>
      <c r="F335" s="188" t="str">
        <f t="shared" si="28"/>
        <v/>
      </c>
      <c r="G335" s="182"/>
      <c r="H335" s="182"/>
      <c r="I335" s="182"/>
      <c r="K335" s="139" t="str">
        <f t="shared" si="29"/>
        <v/>
      </c>
      <c r="L335" s="139" t="str">
        <f t="shared" si="30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6"/>
        <v/>
      </c>
      <c r="D336" s="136" t="str">
        <f t="shared" si="27"/>
        <v/>
      </c>
      <c r="E336" s="148"/>
      <c r="F336" s="188" t="str">
        <f t="shared" si="28"/>
        <v/>
      </c>
      <c r="G336" s="182"/>
      <c r="H336" s="182"/>
      <c r="I336" s="182"/>
      <c r="K336" s="139" t="str">
        <f t="shared" si="29"/>
        <v/>
      </c>
      <c r="L336" s="139" t="str">
        <f t="shared" si="30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6"/>
        <v/>
      </c>
      <c r="D337" s="136" t="str">
        <f t="shared" si="27"/>
        <v/>
      </c>
      <c r="E337" s="148"/>
      <c r="F337" s="188" t="str">
        <f t="shared" si="28"/>
        <v/>
      </c>
      <c r="G337" s="182"/>
      <c r="H337" s="182"/>
      <c r="I337" s="182"/>
      <c r="K337" s="139" t="str">
        <f t="shared" si="29"/>
        <v/>
      </c>
      <c r="L337" s="139" t="str">
        <f t="shared" si="30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6"/>
        <v/>
      </c>
      <c r="D338" s="136" t="str">
        <f t="shared" si="27"/>
        <v/>
      </c>
      <c r="E338" s="148"/>
      <c r="F338" s="188" t="str">
        <f t="shared" si="28"/>
        <v/>
      </c>
      <c r="G338" s="182"/>
      <c r="H338" s="182"/>
      <c r="I338" s="182"/>
      <c r="K338" s="139" t="str">
        <f t="shared" si="29"/>
        <v/>
      </c>
      <c r="L338" s="139" t="str">
        <f t="shared" si="30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6"/>
        <v/>
      </c>
      <c r="D339" s="136" t="str">
        <f t="shared" si="27"/>
        <v/>
      </c>
      <c r="E339" s="148"/>
      <c r="F339" s="188" t="str">
        <f t="shared" si="28"/>
        <v/>
      </c>
      <c r="G339" s="182"/>
      <c r="H339" s="182"/>
      <c r="I339" s="182"/>
      <c r="K339" s="139" t="str">
        <f t="shared" si="29"/>
        <v/>
      </c>
      <c r="L339" s="139" t="str">
        <f t="shared" si="30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6"/>
        <v/>
      </c>
      <c r="D340" s="136" t="str">
        <f t="shared" si="27"/>
        <v/>
      </c>
      <c r="E340" s="148"/>
      <c r="F340" s="188" t="str">
        <f t="shared" si="28"/>
        <v/>
      </c>
      <c r="G340" s="182"/>
      <c r="H340" s="182"/>
      <c r="I340" s="182"/>
      <c r="K340" s="139" t="str">
        <f t="shared" si="29"/>
        <v/>
      </c>
      <c r="L340" s="139" t="str">
        <f t="shared" si="30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6"/>
        <v/>
      </c>
      <c r="D341" s="136" t="str">
        <f t="shared" si="27"/>
        <v/>
      </c>
      <c r="E341" s="148"/>
      <c r="F341" s="188" t="str">
        <f t="shared" si="28"/>
        <v/>
      </c>
      <c r="G341" s="182"/>
      <c r="H341" s="182"/>
      <c r="I341" s="182"/>
      <c r="K341" s="139" t="str">
        <f t="shared" si="29"/>
        <v/>
      </c>
      <c r="L341" s="139" t="str">
        <f t="shared" si="30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6"/>
        <v/>
      </c>
      <c r="D342" s="136" t="str">
        <f t="shared" si="27"/>
        <v/>
      </c>
      <c r="E342" s="148"/>
      <c r="F342" s="188" t="str">
        <f t="shared" si="28"/>
        <v/>
      </c>
      <c r="G342" s="182"/>
      <c r="H342" s="182"/>
      <c r="I342" s="182"/>
      <c r="K342" s="139" t="str">
        <f t="shared" si="29"/>
        <v/>
      </c>
      <c r="L342" s="139" t="str">
        <f t="shared" si="30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6"/>
        <v/>
      </c>
      <c r="D343" s="136" t="str">
        <f t="shared" si="27"/>
        <v/>
      </c>
      <c r="E343" s="148"/>
      <c r="F343" s="188" t="str">
        <f t="shared" si="28"/>
        <v/>
      </c>
      <c r="G343" s="182"/>
      <c r="H343" s="182"/>
      <c r="I343" s="182"/>
      <c r="K343" s="139" t="str">
        <f t="shared" si="29"/>
        <v/>
      </c>
      <c r="L343" s="139" t="str">
        <f t="shared" si="30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6"/>
        <v/>
      </c>
      <c r="D344" s="136" t="str">
        <f t="shared" si="27"/>
        <v/>
      </c>
      <c r="E344" s="148"/>
      <c r="F344" s="188" t="str">
        <f t="shared" si="28"/>
        <v/>
      </c>
      <c r="G344" s="182"/>
      <c r="H344" s="182"/>
      <c r="I344" s="182"/>
      <c r="K344" s="139" t="str">
        <f t="shared" si="29"/>
        <v/>
      </c>
      <c r="L344" s="139" t="str">
        <f t="shared" si="30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6"/>
        <v/>
      </c>
      <c r="D345" s="136" t="str">
        <f t="shared" si="27"/>
        <v/>
      </c>
      <c r="E345" s="148"/>
      <c r="F345" s="188" t="str">
        <f t="shared" si="28"/>
        <v/>
      </c>
      <c r="G345" s="182"/>
      <c r="H345" s="182"/>
      <c r="I345" s="182"/>
      <c r="K345" s="139" t="str">
        <f t="shared" si="29"/>
        <v/>
      </c>
      <c r="L345" s="139" t="str">
        <f t="shared" si="30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6"/>
        <v/>
      </c>
      <c r="D346" s="136" t="str">
        <f t="shared" si="27"/>
        <v/>
      </c>
      <c r="E346" s="148"/>
      <c r="F346" s="188" t="str">
        <f t="shared" si="28"/>
        <v/>
      </c>
      <c r="G346" s="182"/>
      <c r="H346" s="182"/>
      <c r="I346" s="182"/>
      <c r="K346" s="139" t="str">
        <f t="shared" si="29"/>
        <v/>
      </c>
      <c r="L346" s="139" t="str">
        <f t="shared" si="30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6"/>
        <v/>
      </c>
      <c r="D347" s="136" t="str">
        <f t="shared" si="27"/>
        <v/>
      </c>
      <c r="E347" s="148"/>
      <c r="F347" s="188" t="str">
        <f t="shared" si="28"/>
        <v/>
      </c>
      <c r="G347" s="182"/>
      <c r="H347" s="182"/>
      <c r="I347" s="182"/>
      <c r="K347" s="139" t="str">
        <f t="shared" si="29"/>
        <v/>
      </c>
      <c r="L347" s="139" t="str">
        <f t="shared" si="30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6"/>
        <v/>
      </c>
      <c r="D348" s="136" t="str">
        <f t="shared" si="27"/>
        <v/>
      </c>
      <c r="E348" s="148"/>
      <c r="F348" s="188" t="str">
        <f t="shared" si="28"/>
        <v/>
      </c>
      <c r="G348" s="182"/>
      <c r="H348" s="182"/>
      <c r="I348" s="182"/>
      <c r="K348" s="139" t="str">
        <f t="shared" si="29"/>
        <v/>
      </c>
      <c r="L348" s="139" t="str">
        <f t="shared" si="30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6"/>
        <v/>
      </c>
      <c r="D349" s="136" t="str">
        <f t="shared" si="27"/>
        <v/>
      </c>
      <c r="E349" s="148"/>
      <c r="F349" s="188" t="str">
        <f t="shared" si="28"/>
        <v/>
      </c>
      <c r="G349" s="182"/>
      <c r="H349" s="182"/>
      <c r="I349" s="182"/>
      <c r="K349" s="139" t="str">
        <f t="shared" si="29"/>
        <v/>
      </c>
      <c r="L349" s="139" t="str">
        <f t="shared" si="30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6"/>
        <v/>
      </c>
      <c r="D350" s="136" t="str">
        <f t="shared" si="27"/>
        <v/>
      </c>
      <c r="E350" s="148"/>
      <c r="F350" s="188" t="str">
        <f t="shared" si="28"/>
        <v/>
      </c>
      <c r="G350" s="182"/>
      <c r="H350" s="182"/>
      <c r="I350" s="182"/>
      <c r="K350" s="139" t="str">
        <f t="shared" si="29"/>
        <v/>
      </c>
      <c r="L350" s="139" t="str">
        <f t="shared" si="30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6"/>
        <v/>
      </c>
      <c r="D351" s="136" t="str">
        <f t="shared" si="27"/>
        <v/>
      </c>
      <c r="E351" s="148"/>
      <c r="F351" s="188" t="str">
        <f t="shared" si="28"/>
        <v/>
      </c>
      <c r="G351" s="182"/>
      <c r="H351" s="182"/>
      <c r="I351" s="182"/>
      <c r="K351" s="139" t="str">
        <f t="shared" si="29"/>
        <v/>
      </c>
      <c r="L351" s="139" t="str">
        <f t="shared" si="30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6"/>
        <v/>
      </c>
      <c r="D352" s="136" t="str">
        <f t="shared" si="27"/>
        <v/>
      </c>
      <c r="E352" s="148"/>
      <c r="F352" s="188" t="str">
        <f t="shared" si="28"/>
        <v/>
      </c>
      <c r="G352" s="182"/>
      <c r="H352" s="182"/>
      <c r="I352" s="182"/>
      <c r="K352" s="139" t="str">
        <f t="shared" si="29"/>
        <v/>
      </c>
      <c r="L352" s="139" t="str">
        <f t="shared" si="30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6"/>
        <v/>
      </c>
      <c r="D353" s="136" t="str">
        <f t="shared" si="27"/>
        <v/>
      </c>
      <c r="E353" s="148"/>
      <c r="F353" s="188" t="str">
        <f t="shared" si="28"/>
        <v/>
      </c>
      <c r="G353" s="182"/>
      <c r="H353" s="182"/>
      <c r="I353" s="182"/>
      <c r="K353" s="139" t="str">
        <f t="shared" si="29"/>
        <v/>
      </c>
      <c r="L353" s="139" t="str">
        <f t="shared" si="30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6"/>
        <v/>
      </c>
      <c r="D354" s="136" t="str">
        <f t="shared" si="27"/>
        <v/>
      </c>
      <c r="E354" s="148"/>
      <c r="F354" s="188" t="str">
        <f t="shared" si="28"/>
        <v/>
      </c>
      <c r="G354" s="182"/>
      <c r="H354" s="182"/>
      <c r="I354" s="182"/>
      <c r="K354" s="139" t="str">
        <f t="shared" si="29"/>
        <v/>
      </c>
      <c r="L354" s="139" t="str">
        <f t="shared" si="30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6"/>
        <v/>
      </c>
      <c r="D355" s="136" t="str">
        <f t="shared" si="27"/>
        <v/>
      </c>
      <c r="E355" s="148"/>
      <c r="F355" s="188" t="str">
        <f t="shared" si="28"/>
        <v/>
      </c>
      <c r="G355" s="182"/>
      <c r="H355" s="182"/>
      <c r="I355" s="182"/>
      <c r="K355" s="139" t="str">
        <f t="shared" si="29"/>
        <v/>
      </c>
      <c r="L355" s="139" t="str">
        <f t="shared" si="30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6"/>
        <v/>
      </c>
      <c r="D356" s="136" t="str">
        <f t="shared" si="27"/>
        <v/>
      </c>
      <c r="E356" s="148"/>
      <c r="F356" s="188" t="str">
        <f t="shared" si="28"/>
        <v/>
      </c>
      <c r="G356" s="182"/>
      <c r="H356" s="182"/>
      <c r="I356" s="182"/>
      <c r="K356" s="139" t="str">
        <f t="shared" si="29"/>
        <v/>
      </c>
      <c r="L356" s="139" t="str">
        <f t="shared" si="30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6"/>
        <v/>
      </c>
      <c r="D357" s="136" t="str">
        <f t="shared" si="27"/>
        <v/>
      </c>
      <c r="E357" s="148"/>
      <c r="F357" s="188" t="str">
        <f t="shared" si="28"/>
        <v/>
      </c>
      <c r="G357" s="182"/>
      <c r="H357" s="182"/>
      <c r="I357" s="182"/>
      <c r="K357" s="139" t="str">
        <f t="shared" si="29"/>
        <v/>
      </c>
      <c r="L357" s="139" t="str">
        <f t="shared" si="30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6"/>
        <v/>
      </c>
      <c r="D358" s="136" t="str">
        <f t="shared" si="27"/>
        <v/>
      </c>
      <c r="E358" s="148"/>
      <c r="F358" s="188" t="str">
        <f t="shared" si="28"/>
        <v/>
      </c>
      <c r="G358" s="182"/>
      <c r="H358" s="182"/>
      <c r="I358" s="182"/>
      <c r="K358" s="139" t="str">
        <f t="shared" si="29"/>
        <v/>
      </c>
      <c r="L358" s="139" t="str">
        <f t="shared" si="30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6"/>
        <v/>
      </c>
      <c r="D359" s="136" t="str">
        <f t="shared" si="27"/>
        <v/>
      </c>
      <c r="E359" s="148"/>
      <c r="F359" s="188" t="str">
        <f t="shared" si="28"/>
        <v/>
      </c>
      <c r="G359" s="182"/>
      <c r="H359" s="182"/>
      <c r="I359" s="182"/>
      <c r="K359" s="139" t="str">
        <f t="shared" si="29"/>
        <v/>
      </c>
      <c r="L359" s="139" t="str">
        <f t="shared" si="30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6"/>
        <v/>
      </c>
      <c r="D360" s="136" t="str">
        <f t="shared" si="27"/>
        <v/>
      </c>
      <c r="E360" s="148"/>
      <c r="F360" s="188" t="str">
        <f t="shared" si="28"/>
        <v/>
      </c>
      <c r="G360" s="182"/>
      <c r="H360" s="182"/>
      <c r="I360" s="182"/>
      <c r="K360" s="139" t="str">
        <f t="shared" si="29"/>
        <v/>
      </c>
      <c r="L360" s="139" t="str">
        <f t="shared" si="30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6"/>
        <v/>
      </c>
      <c r="D361" s="136" t="str">
        <f t="shared" si="27"/>
        <v/>
      </c>
      <c r="E361" s="148"/>
      <c r="F361" s="188" t="str">
        <f t="shared" si="28"/>
        <v/>
      </c>
      <c r="G361" s="182"/>
      <c r="H361" s="182"/>
      <c r="I361" s="182"/>
      <c r="K361" s="139" t="str">
        <f t="shared" si="29"/>
        <v/>
      </c>
      <c r="L361" s="139" t="str">
        <f t="shared" si="30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6"/>
        <v/>
      </c>
      <c r="D362" s="136" t="str">
        <f t="shared" si="27"/>
        <v/>
      </c>
      <c r="E362" s="148"/>
      <c r="F362" s="188" t="str">
        <f t="shared" si="28"/>
        <v/>
      </c>
      <c r="G362" s="182"/>
      <c r="H362" s="182"/>
      <c r="I362" s="182"/>
      <c r="K362" s="139" t="str">
        <f t="shared" si="29"/>
        <v/>
      </c>
      <c r="L362" s="139" t="str">
        <f t="shared" si="30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6"/>
        <v/>
      </c>
      <c r="D363" s="136" t="str">
        <f t="shared" si="27"/>
        <v/>
      </c>
      <c r="E363" s="148"/>
      <c r="F363" s="188" t="str">
        <f t="shared" si="28"/>
        <v/>
      </c>
      <c r="G363" s="182"/>
      <c r="H363" s="182"/>
      <c r="I363" s="182"/>
      <c r="K363" s="139" t="str">
        <f t="shared" si="29"/>
        <v/>
      </c>
      <c r="L363" s="139" t="str">
        <f t="shared" si="30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6"/>
        <v/>
      </c>
      <c r="D364" s="136" t="str">
        <f t="shared" si="27"/>
        <v/>
      </c>
      <c r="E364" s="148"/>
      <c r="F364" s="188" t="str">
        <f t="shared" si="28"/>
        <v/>
      </c>
      <c r="G364" s="182"/>
      <c r="H364" s="182"/>
      <c r="I364" s="182"/>
      <c r="K364" s="139" t="str">
        <f t="shared" si="29"/>
        <v/>
      </c>
      <c r="L364" s="139" t="str">
        <f t="shared" si="30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6"/>
        <v/>
      </c>
      <c r="D365" s="136" t="str">
        <f t="shared" si="27"/>
        <v/>
      </c>
      <c r="E365" s="148"/>
      <c r="F365" s="188" t="str">
        <f t="shared" si="28"/>
        <v/>
      </c>
      <c r="G365" s="182"/>
      <c r="H365" s="182"/>
      <c r="I365" s="182"/>
      <c r="K365" s="139" t="str">
        <f t="shared" si="29"/>
        <v/>
      </c>
      <c r="L365" s="139" t="str">
        <f t="shared" si="30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6"/>
        <v/>
      </c>
      <c r="D366" s="136" t="str">
        <f t="shared" si="27"/>
        <v/>
      </c>
      <c r="E366" s="148"/>
      <c r="F366" s="188" t="str">
        <f t="shared" si="28"/>
        <v/>
      </c>
      <c r="G366" s="182"/>
      <c r="H366" s="182"/>
      <c r="I366" s="182"/>
      <c r="K366" s="139" t="str">
        <f t="shared" si="29"/>
        <v/>
      </c>
      <c r="L366" s="139" t="str">
        <f t="shared" si="30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6"/>
        <v/>
      </c>
      <c r="D367" s="136" t="str">
        <f t="shared" si="27"/>
        <v/>
      </c>
      <c r="E367" s="148"/>
      <c r="F367" s="188" t="str">
        <f t="shared" si="28"/>
        <v/>
      </c>
      <c r="G367" s="182"/>
      <c r="H367" s="182"/>
      <c r="I367" s="182"/>
      <c r="K367" s="139" t="str">
        <f t="shared" si="29"/>
        <v/>
      </c>
      <c r="L367" s="139" t="str">
        <f t="shared" si="30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6"/>
        <v/>
      </c>
      <c r="D368" s="136" t="str">
        <f t="shared" si="27"/>
        <v/>
      </c>
      <c r="E368" s="148"/>
      <c r="F368" s="188" t="str">
        <f t="shared" si="28"/>
        <v/>
      </c>
      <c r="G368" s="182"/>
      <c r="H368" s="182"/>
      <c r="I368" s="182"/>
      <c r="K368" s="139" t="str">
        <f t="shared" si="29"/>
        <v/>
      </c>
      <c r="L368" s="139" t="str">
        <f t="shared" si="30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6"/>
        <v/>
      </c>
      <c r="D369" s="136" t="str">
        <f t="shared" si="27"/>
        <v/>
      </c>
      <c r="E369" s="148"/>
      <c r="F369" s="188" t="str">
        <f t="shared" si="28"/>
        <v/>
      </c>
      <c r="G369" s="182"/>
      <c r="H369" s="182"/>
      <c r="I369" s="182"/>
      <c r="K369" s="139" t="str">
        <f t="shared" si="29"/>
        <v/>
      </c>
      <c r="L369" s="139" t="str">
        <f t="shared" si="30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6"/>
        <v/>
      </c>
      <c r="D370" s="136" t="str">
        <f t="shared" si="27"/>
        <v/>
      </c>
      <c r="E370" s="148"/>
      <c r="F370" s="188" t="str">
        <f t="shared" si="28"/>
        <v/>
      </c>
      <c r="G370" s="182"/>
      <c r="H370" s="182"/>
      <c r="I370" s="182"/>
      <c r="K370" s="139" t="str">
        <f t="shared" si="29"/>
        <v/>
      </c>
      <c r="L370" s="139" t="str">
        <f t="shared" si="30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6"/>
        <v/>
      </c>
      <c r="D371" s="136" t="str">
        <f t="shared" si="27"/>
        <v/>
      </c>
      <c r="E371" s="148"/>
      <c r="F371" s="188" t="str">
        <f t="shared" si="28"/>
        <v/>
      </c>
      <c r="G371" s="182"/>
      <c r="H371" s="182"/>
      <c r="I371" s="182"/>
      <c r="K371" s="139" t="str">
        <f t="shared" si="29"/>
        <v/>
      </c>
      <c r="L371" s="139" t="str">
        <f t="shared" si="30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6"/>
        <v/>
      </c>
      <c r="D372" s="136" t="str">
        <f t="shared" si="27"/>
        <v/>
      </c>
      <c r="E372" s="148"/>
      <c r="F372" s="188" t="str">
        <f t="shared" si="28"/>
        <v/>
      </c>
      <c r="G372" s="182"/>
      <c r="H372" s="182"/>
      <c r="I372" s="182"/>
      <c r="K372" s="139" t="str">
        <f t="shared" si="29"/>
        <v/>
      </c>
      <c r="L372" s="139" t="str">
        <f t="shared" si="30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6"/>
        <v/>
      </c>
      <c r="D373" s="136" t="str">
        <f t="shared" si="27"/>
        <v/>
      </c>
      <c r="E373" s="148"/>
      <c r="F373" s="188" t="str">
        <f t="shared" si="28"/>
        <v/>
      </c>
      <c r="G373" s="182"/>
      <c r="H373" s="182"/>
      <c r="I373" s="182"/>
      <c r="K373" s="139" t="str">
        <f t="shared" si="29"/>
        <v/>
      </c>
      <c r="L373" s="139" t="str">
        <f t="shared" si="30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6"/>
        <v/>
      </c>
      <c r="D374" s="136" t="str">
        <f t="shared" si="27"/>
        <v/>
      </c>
      <c r="E374" s="148"/>
      <c r="F374" s="188" t="str">
        <f t="shared" si="28"/>
        <v/>
      </c>
      <c r="G374" s="182"/>
      <c r="H374" s="182"/>
      <c r="I374" s="182"/>
      <c r="K374" s="139" t="str">
        <f t="shared" si="29"/>
        <v/>
      </c>
      <c r="L374" s="139" t="str">
        <f t="shared" si="30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6"/>
        <v/>
      </c>
      <c r="D375" s="136" t="str">
        <f t="shared" si="27"/>
        <v/>
      </c>
      <c r="E375" s="148"/>
      <c r="F375" s="188" t="str">
        <f t="shared" si="28"/>
        <v/>
      </c>
      <c r="G375" s="182"/>
      <c r="H375" s="182"/>
      <c r="I375" s="182"/>
      <c r="K375" s="139" t="str">
        <f t="shared" si="29"/>
        <v/>
      </c>
      <c r="L375" s="139" t="str">
        <f t="shared" si="30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6"/>
        <v/>
      </c>
      <c r="D376" s="136" t="str">
        <f t="shared" si="27"/>
        <v/>
      </c>
      <c r="E376" s="148"/>
      <c r="F376" s="188" t="str">
        <f t="shared" si="28"/>
        <v/>
      </c>
      <c r="G376" s="182"/>
      <c r="H376" s="182"/>
      <c r="I376" s="182"/>
      <c r="K376" s="139" t="str">
        <f t="shared" si="29"/>
        <v/>
      </c>
      <c r="L376" s="139" t="str">
        <f t="shared" si="30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6"/>
        <v/>
      </c>
      <c r="D377" s="136" t="str">
        <f t="shared" si="27"/>
        <v/>
      </c>
      <c r="E377" s="148"/>
      <c r="F377" s="188" t="str">
        <f t="shared" si="28"/>
        <v/>
      </c>
      <c r="G377" s="182"/>
      <c r="H377" s="182"/>
      <c r="I377" s="182"/>
      <c r="K377" s="139" t="str">
        <f t="shared" si="29"/>
        <v/>
      </c>
      <c r="L377" s="139" t="str">
        <f t="shared" si="30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6"/>
        <v/>
      </c>
      <c r="D378" s="136" t="str">
        <f t="shared" si="27"/>
        <v/>
      </c>
      <c r="E378" s="148"/>
      <c r="F378" s="188" t="str">
        <f t="shared" si="28"/>
        <v/>
      </c>
      <c r="G378" s="182"/>
      <c r="H378" s="182"/>
      <c r="I378" s="182"/>
      <c r="K378" s="139" t="str">
        <f t="shared" si="29"/>
        <v/>
      </c>
      <c r="L378" s="139" t="str">
        <f t="shared" si="30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6"/>
        <v/>
      </c>
      <c r="D379" s="136" t="str">
        <f t="shared" si="27"/>
        <v/>
      </c>
      <c r="E379" s="148"/>
      <c r="F379" s="188" t="str">
        <f t="shared" si="28"/>
        <v/>
      </c>
      <c r="G379" s="182"/>
      <c r="H379" s="182"/>
      <c r="I379" s="182"/>
      <c r="K379" s="139" t="str">
        <f t="shared" si="29"/>
        <v/>
      </c>
      <c r="L379" s="139" t="str">
        <f t="shared" si="30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6"/>
        <v/>
      </c>
      <c r="D380" s="136" t="str">
        <f t="shared" si="27"/>
        <v/>
      </c>
      <c r="E380" s="148"/>
      <c r="F380" s="188" t="str">
        <f t="shared" si="28"/>
        <v/>
      </c>
      <c r="G380" s="182"/>
      <c r="H380" s="182"/>
      <c r="I380" s="182"/>
      <c r="K380" s="139" t="str">
        <f t="shared" si="29"/>
        <v/>
      </c>
      <c r="L380" s="139" t="str">
        <f t="shared" si="30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6"/>
        <v/>
      </c>
      <c r="D381" s="136" t="str">
        <f t="shared" si="27"/>
        <v/>
      </c>
      <c r="E381" s="148"/>
      <c r="F381" s="188" t="str">
        <f t="shared" si="28"/>
        <v/>
      </c>
      <c r="G381" s="182"/>
      <c r="H381" s="182"/>
      <c r="I381" s="182"/>
      <c r="K381" s="139" t="str">
        <f t="shared" si="29"/>
        <v/>
      </c>
      <c r="L381" s="139" t="str">
        <f t="shared" si="30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6"/>
        <v/>
      </c>
      <c r="D382" s="136" t="str">
        <f t="shared" si="27"/>
        <v/>
      </c>
      <c r="E382" s="148"/>
      <c r="F382" s="188" t="str">
        <f t="shared" si="28"/>
        <v/>
      </c>
      <c r="G382" s="182"/>
      <c r="H382" s="182"/>
      <c r="I382" s="182"/>
      <c r="K382" s="139" t="str">
        <f t="shared" si="29"/>
        <v/>
      </c>
      <c r="L382" s="139" t="str">
        <f t="shared" si="30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6"/>
        <v/>
      </c>
      <c r="D383" s="136" t="str">
        <f t="shared" si="27"/>
        <v/>
      </c>
      <c r="E383" s="148"/>
      <c r="F383" s="188" t="str">
        <f t="shared" si="28"/>
        <v/>
      </c>
      <c r="G383" s="182"/>
      <c r="H383" s="182"/>
      <c r="I383" s="182"/>
      <c r="K383" s="139" t="str">
        <f t="shared" si="29"/>
        <v/>
      </c>
      <c r="L383" s="139" t="str">
        <f t="shared" si="30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6"/>
        <v/>
      </c>
      <c r="D384" s="136" t="str">
        <f t="shared" si="27"/>
        <v/>
      </c>
      <c r="E384" s="148"/>
      <c r="F384" s="188" t="str">
        <f t="shared" si="28"/>
        <v/>
      </c>
      <c r="G384" s="182"/>
      <c r="H384" s="182"/>
      <c r="I384" s="182"/>
      <c r="K384" s="139" t="str">
        <f t="shared" si="29"/>
        <v/>
      </c>
      <c r="L384" s="139" t="str">
        <f t="shared" si="30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6"/>
        <v/>
      </c>
      <c r="D385" s="136" t="str">
        <f t="shared" si="27"/>
        <v/>
      </c>
      <c r="E385" s="148"/>
      <c r="F385" s="188" t="str">
        <f t="shared" si="28"/>
        <v/>
      </c>
      <c r="G385" s="182"/>
      <c r="H385" s="182"/>
      <c r="I385" s="182"/>
      <c r="K385" s="139" t="str">
        <f t="shared" si="29"/>
        <v/>
      </c>
      <c r="L385" s="139" t="str">
        <f t="shared" si="30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6"/>
        <v/>
      </c>
      <c r="D386" s="136" t="str">
        <f t="shared" si="27"/>
        <v/>
      </c>
      <c r="E386" s="148"/>
      <c r="F386" s="188" t="str">
        <f t="shared" si="28"/>
        <v/>
      </c>
      <c r="G386" s="182"/>
      <c r="H386" s="182"/>
      <c r="I386" s="182"/>
      <c r="K386" s="139" t="str">
        <f t="shared" si="29"/>
        <v/>
      </c>
      <c r="L386" s="139" t="str">
        <f t="shared" si="30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ref="C387:C450" si="31">IFERROR(VLOOKUP(E387,$Q$6:$T$104,3,FALSE),"")</f>
        <v/>
      </c>
      <c r="D387" s="136" t="str">
        <f t="shared" ref="D387:D450" si="32">IFERROR(VLOOKUP(E387,$Q$6:$T$104,4,FALSE),"")</f>
        <v/>
      </c>
      <c r="E387" s="148"/>
      <c r="F387" s="188" t="str">
        <f t="shared" ref="F387:F450" si="33">IFERROR(VLOOKUP(E387,$Q$6:$T$104,2,FALSE),"")</f>
        <v/>
      </c>
      <c r="G387" s="182"/>
      <c r="H387" s="182"/>
      <c r="I387" s="182"/>
      <c r="K387" s="139" t="str">
        <f t="shared" ref="K387:K450" si="34">LEFT(E387,3)</f>
        <v/>
      </c>
      <c r="L387" s="139" t="str">
        <f t="shared" ref="L387:L450" si="35">LEFT(E387,2)</f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si="31"/>
        <v/>
      </c>
      <c r="D388" s="136" t="str">
        <f t="shared" si="32"/>
        <v/>
      </c>
      <c r="E388" s="148"/>
      <c r="F388" s="188" t="str">
        <f t="shared" si="33"/>
        <v/>
      </c>
      <c r="G388" s="182"/>
      <c r="H388" s="182"/>
      <c r="I388" s="182"/>
      <c r="K388" s="139" t="str">
        <f t="shared" si="34"/>
        <v/>
      </c>
      <c r="L388" s="139" t="str">
        <f t="shared" si="35"/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1"/>
        <v/>
      </c>
      <c r="D389" s="136" t="str">
        <f t="shared" si="32"/>
        <v/>
      </c>
      <c r="E389" s="148"/>
      <c r="F389" s="188" t="str">
        <f t="shared" si="33"/>
        <v/>
      </c>
      <c r="G389" s="182"/>
      <c r="H389" s="182"/>
      <c r="I389" s="182"/>
      <c r="K389" s="139" t="str">
        <f t="shared" si="34"/>
        <v/>
      </c>
      <c r="L389" s="139" t="str">
        <f t="shared" si="35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1"/>
        <v/>
      </c>
      <c r="D390" s="136" t="str">
        <f t="shared" si="32"/>
        <v/>
      </c>
      <c r="E390" s="148"/>
      <c r="F390" s="188" t="str">
        <f t="shared" si="33"/>
        <v/>
      </c>
      <c r="G390" s="182"/>
      <c r="H390" s="182"/>
      <c r="I390" s="182"/>
      <c r="K390" s="139" t="str">
        <f t="shared" si="34"/>
        <v/>
      </c>
      <c r="L390" s="139" t="str">
        <f t="shared" si="35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1"/>
        <v/>
      </c>
      <c r="D391" s="136" t="str">
        <f t="shared" si="32"/>
        <v/>
      </c>
      <c r="E391" s="148"/>
      <c r="F391" s="188" t="str">
        <f t="shared" si="33"/>
        <v/>
      </c>
      <c r="G391" s="182"/>
      <c r="H391" s="182"/>
      <c r="I391" s="182"/>
      <c r="K391" s="139" t="str">
        <f t="shared" si="34"/>
        <v/>
      </c>
      <c r="L391" s="139" t="str">
        <f t="shared" si="35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1"/>
        <v/>
      </c>
      <c r="D392" s="136" t="str">
        <f t="shared" si="32"/>
        <v/>
      </c>
      <c r="E392" s="148"/>
      <c r="F392" s="188" t="str">
        <f t="shared" si="33"/>
        <v/>
      </c>
      <c r="G392" s="182"/>
      <c r="H392" s="182"/>
      <c r="I392" s="182"/>
      <c r="K392" s="139" t="str">
        <f t="shared" si="34"/>
        <v/>
      </c>
      <c r="L392" s="139" t="str">
        <f t="shared" si="35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1"/>
        <v/>
      </c>
      <c r="D393" s="136" t="str">
        <f t="shared" si="32"/>
        <v/>
      </c>
      <c r="E393" s="148"/>
      <c r="F393" s="188" t="str">
        <f t="shared" si="33"/>
        <v/>
      </c>
      <c r="G393" s="182"/>
      <c r="H393" s="182"/>
      <c r="I393" s="182"/>
      <c r="K393" s="139" t="str">
        <f t="shared" si="34"/>
        <v/>
      </c>
      <c r="L393" s="139" t="str">
        <f t="shared" si="35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1"/>
        <v/>
      </c>
      <c r="D394" s="136" t="str">
        <f t="shared" si="32"/>
        <v/>
      </c>
      <c r="E394" s="148"/>
      <c r="F394" s="188" t="str">
        <f t="shared" si="33"/>
        <v/>
      </c>
      <c r="G394" s="182"/>
      <c r="H394" s="182"/>
      <c r="I394" s="182"/>
      <c r="K394" s="139" t="str">
        <f t="shared" si="34"/>
        <v/>
      </c>
      <c r="L394" s="139" t="str">
        <f t="shared" si="35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1"/>
        <v/>
      </c>
      <c r="D395" s="136" t="str">
        <f t="shared" si="32"/>
        <v/>
      </c>
      <c r="E395" s="148"/>
      <c r="F395" s="188" t="str">
        <f t="shared" si="33"/>
        <v/>
      </c>
      <c r="G395" s="182"/>
      <c r="H395" s="182"/>
      <c r="I395" s="182"/>
      <c r="K395" s="139" t="str">
        <f t="shared" si="34"/>
        <v/>
      </c>
      <c r="L395" s="139" t="str">
        <f t="shared" si="35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1"/>
        <v/>
      </c>
      <c r="D396" s="136" t="str">
        <f t="shared" si="32"/>
        <v/>
      </c>
      <c r="E396" s="148"/>
      <c r="F396" s="188" t="str">
        <f t="shared" si="33"/>
        <v/>
      </c>
      <c r="G396" s="182"/>
      <c r="H396" s="182"/>
      <c r="I396" s="182"/>
      <c r="K396" s="139" t="str">
        <f t="shared" si="34"/>
        <v/>
      </c>
      <c r="L396" s="139" t="str">
        <f t="shared" si="35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1"/>
        <v/>
      </c>
      <c r="D397" s="136" t="str">
        <f t="shared" si="32"/>
        <v/>
      </c>
      <c r="E397" s="148"/>
      <c r="F397" s="188" t="str">
        <f t="shared" si="33"/>
        <v/>
      </c>
      <c r="G397" s="182"/>
      <c r="H397" s="182"/>
      <c r="I397" s="182"/>
      <c r="K397" s="139" t="str">
        <f t="shared" si="34"/>
        <v/>
      </c>
      <c r="L397" s="139" t="str">
        <f t="shared" si="35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1"/>
        <v/>
      </c>
      <c r="D398" s="136" t="str">
        <f t="shared" si="32"/>
        <v/>
      </c>
      <c r="E398" s="148"/>
      <c r="F398" s="188" t="str">
        <f t="shared" si="33"/>
        <v/>
      </c>
      <c r="G398" s="182"/>
      <c r="H398" s="182"/>
      <c r="I398" s="182"/>
      <c r="K398" s="139" t="str">
        <f t="shared" si="34"/>
        <v/>
      </c>
      <c r="L398" s="139" t="str">
        <f t="shared" si="35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1"/>
        <v/>
      </c>
      <c r="D399" s="136" t="str">
        <f t="shared" si="32"/>
        <v/>
      </c>
      <c r="E399" s="148"/>
      <c r="F399" s="188" t="str">
        <f t="shared" si="33"/>
        <v/>
      </c>
      <c r="G399" s="182"/>
      <c r="H399" s="182"/>
      <c r="I399" s="182"/>
      <c r="K399" s="139" t="str">
        <f t="shared" si="34"/>
        <v/>
      </c>
      <c r="L399" s="139" t="str">
        <f t="shared" si="35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1"/>
        <v/>
      </c>
      <c r="D400" s="136" t="str">
        <f t="shared" si="32"/>
        <v/>
      </c>
      <c r="E400" s="148"/>
      <c r="F400" s="188" t="str">
        <f t="shared" si="33"/>
        <v/>
      </c>
      <c r="G400" s="182"/>
      <c r="H400" s="182"/>
      <c r="I400" s="182"/>
      <c r="K400" s="139" t="str">
        <f t="shared" si="34"/>
        <v/>
      </c>
      <c r="L400" s="139" t="str">
        <f t="shared" si="35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1"/>
        <v/>
      </c>
      <c r="D401" s="136" t="str">
        <f t="shared" si="32"/>
        <v/>
      </c>
      <c r="E401" s="148"/>
      <c r="F401" s="188" t="str">
        <f t="shared" si="33"/>
        <v/>
      </c>
      <c r="G401" s="182"/>
      <c r="H401" s="182"/>
      <c r="I401" s="182"/>
      <c r="K401" s="139" t="str">
        <f t="shared" si="34"/>
        <v/>
      </c>
      <c r="L401" s="139" t="str">
        <f t="shared" si="35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1"/>
        <v/>
      </c>
      <c r="D402" s="136" t="str">
        <f t="shared" si="32"/>
        <v/>
      </c>
      <c r="E402" s="148"/>
      <c r="F402" s="188" t="str">
        <f t="shared" si="33"/>
        <v/>
      </c>
      <c r="G402" s="182"/>
      <c r="H402" s="182"/>
      <c r="I402" s="182"/>
      <c r="K402" s="139" t="str">
        <f t="shared" si="34"/>
        <v/>
      </c>
      <c r="L402" s="139" t="str">
        <f t="shared" si="35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1"/>
        <v/>
      </c>
      <c r="D403" s="136" t="str">
        <f t="shared" si="32"/>
        <v/>
      </c>
      <c r="E403" s="148"/>
      <c r="F403" s="188" t="str">
        <f t="shared" si="33"/>
        <v/>
      </c>
      <c r="G403" s="182"/>
      <c r="H403" s="182"/>
      <c r="I403" s="182"/>
      <c r="K403" s="139" t="str">
        <f t="shared" si="34"/>
        <v/>
      </c>
      <c r="L403" s="139" t="str">
        <f t="shared" si="35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1"/>
        <v/>
      </c>
      <c r="D404" s="136" t="str">
        <f t="shared" si="32"/>
        <v/>
      </c>
      <c r="E404" s="148"/>
      <c r="F404" s="188" t="str">
        <f t="shared" si="33"/>
        <v/>
      </c>
      <c r="G404" s="182"/>
      <c r="H404" s="182"/>
      <c r="I404" s="182"/>
      <c r="K404" s="139" t="str">
        <f t="shared" si="34"/>
        <v/>
      </c>
      <c r="L404" s="139" t="str">
        <f t="shared" si="35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1"/>
        <v/>
      </c>
      <c r="D405" s="136" t="str">
        <f t="shared" si="32"/>
        <v/>
      </c>
      <c r="E405" s="148"/>
      <c r="F405" s="188" t="str">
        <f t="shared" si="33"/>
        <v/>
      </c>
      <c r="G405" s="182"/>
      <c r="H405" s="182"/>
      <c r="I405" s="182"/>
      <c r="K405" s="139" t="str">
        <f t="shared" si="34"/>
        <v/>
      </c>
      <c r="L405" s="139" t="str">
        <f t="shared" si="35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1"/>
        <v/>
      </c>
      <c r="D406" s="136" t="str">
        <f t="shared" si="32"/>
        <v/>
      </c>
      <c r="E406" s="148"/>
      <c r="F406" s="188" t="str">
        <f t="shared" si="33"/>
        <v/>
      </c>
      <c r="G406" s="182"/>
      <c r="H406" s="182"/>
      <c r="I406" s="182"/>
      <c r="K406" s="139" t="str">
        <f t="shared" si="34"/>
        <v/>
      </c>
      <c r="L406" s="139" t="str">
        <f t="shared" si="35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1"/>
        <v/>
      </c>
      <c r="D407" s="136" t="str">
        <f t="shared" si="32"/>
        <v/>
      </c>
      <c r="E407" s="148"/>
      <c r="F407" s="188" t="str">
        <f t="shared" si="33"/>
        <v/>
      </c>
      <c r="G407" s="182"/>
      <c r="H407" s="182"/>
      <c r="I407" s="182"/>
      <c r="K407" s="139" t="str">
        <f t="shared" si="34"/>
        <v/>
      </c>
      <c r="L407" s="139" t="str">
        <f t="shared" si="35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1"/>
        <v/>
      </c>
      <c r="D408" s="136" t="str">
        <f t="shared" si="32"/>
        <v/>
      </c>
      <c r="E408" s="148"/>
      <c r="F408" s="188" t="str">
        <f t="shared" si="33"/>
        <v/>
      </c>
      <c r="G408" s="182"/>
      <c r="H408" s="182"/>
      <c r="I408" s="182"/>
      <c r="K408" s="139" t="str">
        <f t="shared" si="34"/>
        <v/>
      </c>
      <c r="L408" s="139" t="str">
        <f t="shared" si="35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1"/>
        <v/>
      </c>
      <c r="D409" s="136" t="str">
        <f t="shared" si="32"/>
        <v/>
      </c>
      <c r="E409" s="148"/>
      <c r="F409" s="188" t="str">
        <f t="shared" si="33"/>
        <v/>
      </c>
      <c r="G409" s="182"/>
      <c r="H409" s="182"/>
      <c r="I409" s="182"/>
      <c r="K409" s="139" t="str">
        <f t="shared" si="34"/>
        <v/>
      </c>
      <c r="L409" s="139" t="str">
        <f t="shared" si="35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1"/>
        <v/>
      </c>
      <c r="D410" s="136" t="str">
        <f t="shared" si="32"/>
        <v/>
      </c>
      <c r="E410" s="148"/>
      <c r="F410" s="188" t="str">
        <f t="shared" si="33"/>
        <v/>
      </c>
      <c r="G410" s="182"/>
      <c r="H410" s="182"/>
      <c r="I410" s="182"/>
      <c r="K410" s="139" t="str">
        <f t="shared" si="34"/>
        <v/>
      </c>
      <c r="L410" s="139" t="str">
        <f t="shared" si="35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1"/>
        <v/>
      </c>
      <c r="D411" s="136" t="str">
        <f t="shared" si="32"/>
        <v/>
      </c>
      <c r="E411" s="148"/>
      <c r="F411" s="188" t="str">
        <f t="shared" si="33"/>
        <v/>
      </c>
      <c r="G411" s="182"/>
      <c r="H411" s="182"/>
      <c r="I411" s="182"/>
      <c r="K411" s="139" t="str">
        <f t="shared" si="34"/>
        <v/>
      </c>
      <c r="L411" s="139" t="str">
        <f t="shared" si="35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1"/>
        <v/>
      </c>
      <c r="D412" s="136" t="str">
        <f t="shared" si="32"/>
        <v/>
      </c>
      <c r="E412" s="148"/>
      <c r="F412" s="188" t="str">
        <f t="shared" si="33"/>
        <v/>
      </c>
      <c r="G412" s="182"/>
      <c r="H412" s="182"/>
      <c r="I412" s="182"/>
      <c r="K412" s="139" t="str">
        <f t="shared" si="34"/>
        <v/>
      </c>
      <c r="L412" s="139" t="str">
        <f t="shared" si="35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1"/>
        <v/>
      </c>
      <c r="D413" s="136" t="str">
        <f t="shared" si="32"/>
        <v/>
      </c>
      <c r="E413" s="148"/>
      <c r="F413" s="188" t="str">
        <f t="shared" si="33"/>
        <v/>
      </c>
      <c r="G413" s="182"/>
      <c r="H413" s="182"/>
      <c r="I413" s="182"/>
      <c r="K413" s="139" t="str">
        <f t="shared" si="34"/>
        <v/>
      </c>
      <c r="L413" s="139" t="str">
        <f t="shared" si="35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1"/>
        <v/>
      </c>
      <c r="D414" s="136" t="str">
        <f t="shared" si="32"/>
        <v/>
      </c>
      <c r="E414" s="148"/>
      <c r="F414" s="188" t="str">
        <f t="shared" si="33"/>
        <v/>
      </c>
      <c r="G414" s="182"/>
      <c r="H414" s="182"/>
      <c r="I414" s="182"/>
      <c r="K414" s="139" t="str">
        <f t="shared" si="34"/>
        <v/>
      </c>
      <c r="L414" s="139" t="str">
        <f t="shared" si="35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1"/>
        <v/>
      </c>
      <c r="D415" s="136" t="str">
        <f t="shared" si="32"/>
        <v/>
      </c>
      <c r="E415" s="148"/>
      <c r="F415" s="188" t="str">
        <f t="shared" si="33"/>
        <v/>
      </c>
      <c r="G415" s="182"/>
      <c r="H415" s="182"/>
      <c r="I415" s="182"/>
      <c r="K415" s="139" t="str">
        <f t="shared" si="34"/>
        <v/>
      </c>
      <c r="L415" s="139" t="str">
        <f t="shared" si="35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1"/>
        <v/>
      </c>
      <c r="D416" s="136" t="str">
        <f t="shared" si="32"/>
        <v/>
      </c>
      <c r="E416" s="148"/>
      <c r="F416" s="188" t="str">
        <f t="shared" si="33"/>
        <v/>
      </c>
      <c r="G416" s="182"/>
      <c r="H416" s="182"/>
      <c r="I416" s="182"/>
      <c r="K416" s="139" t="str">
        <f t="shared" si="34"/>
        <v/>
      </c>
      <c r="L416" s="139" t="str">
        <f t="shared" si="35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1"/>
        <v/>
      </c>
      <c r="D417" s="136" t="str">
        <f t="shared" si="32"/>
        <v/>
      </c>
      <c r="E417" s="148"/>
      <c r="F417" s="188" t="str">
        <f t="shared" si="33"/>
        <v/>
      </c>
      <c r="G417" s="182"/>
      <c r="H417" s="182"/>
      <c r="I417" s="182"/>
      <c r="K417" s="139" t="str">
        <f t="shared" si="34"/>
        <v/>
      </c>
      <c r="L417" s="139" t="str">
        <f t="shared" si="35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1"/>
        <v/>
      </c>
      <c r="D418" s="136" t="str">
        <f t="shared" si="32"/>
        <v/>
      </c>
      <c r="E418" s="148"/>
      <c r="F418" s="188" t="str">
        <f t="shared" si="33"/>
        <v/>
      </c>
      <c r="G418" s="182"/>
      <c r="H418" s="182"/>
      <c r="I418" s="182"/>
      <c r="K418" s="139" t="str">
        <f t="shared" si="34"/>
        <v/>
      </c>
      <c r="L418" s="139" t="str">
        <f t="shared" si="35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1"/>
        <v/>
      </c>
      <c r="D419" s="136" t="str">
        <f t="shared" si="32"/>
        <v/>
      </c>
      <c r="E419" s="148"/>
      <c r="F419" s="188" t="str">
        <f t="shared" si="33"/>
        <v/>
      </c>
      <c r="G419" s="182"/>
      <c r="H419" s="182"/>
      <c r="I419" s="182"/>
      <c r="K419" s="139" t="str">
        <f t="shared" si="34"/>
        <v/>
      </c>
      <c r="L419" s="139" t="str">
        <f t="shared" si="35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1"/>
        <v/>
      </c>
      <c r="D420" s="136" t="str">
        <f t="shared" si="32"/>
        <v/>
      </c>
      <c r="E420" s="148"/>
      <c r="F420" s="188" t="str">
        <f t="shared" si="33"/>
        <v/>
      </c>
      <c r="G420" s="182"/>
      <c r="H420" s="182"/>
      <c r="I420" s="182"/>
      <c r="K420" s="139" t="str">
        <f t="shared" si="34"/>
        <v/>
      </c>
      <c r="L420" s="139" t="str">
        <f t="shared" si="35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1"/>
        <v/>
      </c>
      <c r="D421" s="136" t="str">
        <f t="shared" si="32"/>
        <v/>
      </c>
      <c r="E421" s="148"/>
      <c r="F421" s="188" t="str">
        <f t="shared" si="33"/>
        <v/>
      </c>
      <c r="G421" s="182"/>
      <c r="H421" s="182"/>
      <c r="I421" s="182"/>
      <c r="K421" s="139" t="str">
        <f t="shared" si="34"/>
        <v/>
      </c>
      <c r="L421" s="139" t="str">
        <f t="shared" si="35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1"/>
        <v/>
      </c>
      <c r="D422" s="136" t="str">
        <f t="shared" si="32"/>
        <v/>
      </c>
      <c r="E422" s="148"/>
      <c r="F422" s="188" t="str">
        <f t="shared" si="33"/>
        <v/>
      </c>
      <c r="G422" s="182"/>
      <c r="H422" s="182"/>
      <c r="I422" s="182"/>
      <c r="K422" s="139" t="str">
        <f t="shared" si="34"/>
        <v/>
      </c>
      <c r="L422" s="139" t="str">
        <f t="shared" si="35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1"/>
        <v/>
      </c>
      <c r="D423" s="136" t="str">
        <f t="shared" si="32"/>
        <v/>
      </c>
      <c r="E423" s="148"/>
      <c r="F423" s="188" t="str">
        <f t="shared" si="33"/>
        <v/>
      </c>
      <c r="G423" s="182"/>
      <c r="H423" s="182"/>
      <c r="I423" s="182"/>
      <c r="K423" s="139" t="str">
        <f t="shared" si="34"/>
        <v/>
      </c>
      <c r="L423" s="139" t="str">
        <f t="shared" si="35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1"/>
        <v/>
      </c>
      <c r="D424" s="136" t="str">
        <f t="shared" si="32"/>
        <v/>
      </c>
      <c r="E424" s="148"/>
      <c r="F424" s="188" t="str">
        <f t="shared" si="33"/>
        <v/>
      </c>
      <c r="G424" s="182"/>
      <c r="H424" s="182"/>
      <c r="I424" s="182"/>
      <c r="K424" s="139" t="str">
        <f t="shared" si="34"/>
        <v/>
      </c>
      <c r="L424" s="139" t="str">
        <f t="shared" si="35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1"/>
        <v/>
      </c>
      <c r="D425" s="136" t="str">
        <f t="shared" si="32"/>
        <v/>
      </c>
      <c r="E425" s="148"/>
      <c r="F425" s="188" t="str">
        <f t="shared" si="33"/>
        <v/>
      </c>
      <c r="G425" s="182"/>
      <c r="H425" s="182"/>
      <c r="I425" s="182"/>
      <c r="K425" s="139" t="str">
        <f t="shared" si="34"/>
        <v/>
      </c>
      <c r="L425" s="139" t="str">
        <f t="shared" si="35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1"/>
        <v/>
      </c>
      <c r="D426" s="136" t="str">
        <f t="shared" si="32"/>
        <v/>
      </c>
      <c r="E426" s="148"/>
      <c r="F426" s="188" t="str">
        <f t="shared" si="33"/>
        <v/>
      </c>
      <c r="G426" s="182"/>
      <c r="H426" s="182"/>
      <c r="I426" s="182"/>
      <c r="K426" s="139" t="str">
        <f t="shared" si="34"/>
        <v/>
      </c>
      <c r="L426" s="139" t="str">
        <f t="shared" si="35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1"/>
        <v/>
      </c>
      <c r="D427" s="136" t="str">
        <f t="shared" si="32"/>
        <v/>
      </c>
      <c r="E427" s="148"/>
      <c r="F427" s="188" t="str">
        <f t="shared" si="33"/>
        <v/>
      </c>
      <c r="G427" s="182"/>
      <c r="H427" s="182"/>
      <c r="I427" s="182"/>
      <c r="K427" s="139" t="str">
        <f t="shared" si="34"/>
        <v/>
      </c>
      <c r="L427" s="139" t="str">
        <f t="shared" si="35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1"/>
        <v/>
      </c>
      <c r="D428" s="136" t="str">
        <f t="shared" si="32"/>
        <v/>
      </c>
      <c r="E428" s="148"/>
      <c r="F428" s="188" t="str">
        <f t="shared" si="33"/>
        <v/>
      </c>
      <c r="G428" s="182"/>
      <c r="H428" s="182"/>
      <c r="I428" s="182"/>
      <c r="K428" s="139" t="str">
        <f t="shared" si="34"/>
        <v/>
      </c>
      <c r="L428" s="139" t="str">
        <f t="shared" si="35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1"/>
        <v/>
      </c>
      <c r="D429" s="136" t="str">
        <f t="shared" si="32"/>
        <v/>
      </c>
      <c r="E429" s="148"/>
      <c r="F429" s="188" t="str">
        <f t="shared" si="33"/>
        <v/>
      </c>
      <c r="G429" s="182"/>
      <c r="H429" s="182"/>
      <c r="I429" s="182"/>
      <c r="K429" s="139" t="str">
        <f t="shared" si="34"/>
        <v/>
      </c>
      <c r="L429" s="139" t="str">
        <f t="shared" si="35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1"/>
        <v/>
      </c>
      <c r="D430" s="136" t="str">
        <f t="shared" si="32"/>
        <v/>
      </c>
      <c r="E430" s="148"/>
      <c r="F430" s="188" t="str">
        <f t="shared" si="33"/>
        <v/>
      </c>
      <c r="G430" s="182"/>
      <c r="H430" s="182"/>
      <c r="I430" s="182"/>
      <c r="K430" s="139" t="str">
        <f t="shared" si="34"/>
        <v/>
      </c>
      <c r="L430" s="139" t="str">
        <f t="shared" si="35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1"/>
        <v/>
      </c>
      <c r="D431" s="136" t="str">
        <f t="shared" si="32"/>
        <v/>
      </c>
      <c r="E431" s="148"/>
      <c r="F431" s="188" t="str">
        <f t="shared" si="33"/>
        <v/>
      </c>
      <c r="G431" s="182"/>
      <c r="H431" s="182"/>
      <c r="I431" s="182"/>
      <c r="K431" s="139" t="str">
        <f t="shared" si="34"/>
        <v/>
      </c>
      <c r="L431" s="139" t="str">
        <f t="shared" si="35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1"/>
        <v/>
      </c>
      <c r="D432" s="136" t="str">
        <f t="shared" si="32"/>
        <v/>
      </c>
      <c r="E432" s="148"/>
      <c r="F432" s="188" t="str">
        <f t="shared" si="33"/>
        <v/>
      </c>
      <c r="G432" s="182"/>
      <c r="H432" s="182"/>
      <c r="I432" s="182"/>
      <c r="K432" s="139" t="str">
        <f t="shared" si="34"/>
        <v/>
      </c>
      <c r="L432" s="139" t="str">
        <f t="shared" si="35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1"/>
        <v/>
      </c>
      <c r="D433" s="136" t="str">
        <f t="shared" si="32"/>
        <v/>
      </c>
      <c r="E433" s="148"/>
      <c r="F433" s="188" t="str">
        <f t="shared" si="33"/>
        <v/>
      </c>
      <c r="G433" s="182"/>
      <c r="H433" s="182"/>
      <c r="I433" s="182"/>
      <c r="K433" s="139" t="str">
        <f t="shared" si="34"/>
        <v/>
      </c>
      <c r="L433" s="139" t="str">
        <f t="shared" si="35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1"/>
        <v/>
      </c>
      <c r="D434" s="136" t="str">
        <f t="shared" si="32"/>
        <v/>
      </c>
      <c r="E434" s="148"/>
      <c r="F434" s="188" t="str">
        <f t="shared" si="33"/>
        <v/>
      </c>
      <c r="G434" s="182"/>
      <c r="H434" s="182"/>
      <c r="I434" s="182"/>
      <c r="K434" s="139" t="str">
        <f t="shared" si="34"/>
        <v/>
      </c>
      <c r="L434" s="139" t="str">
        <f t="shared" si="35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1"/>
        <v/>
      </c>
      <c r="D435" s="136" t="str">
        <f t="shared" si="32"/>
        <v/>
      </c>
      <c r="E435" s="148"/>
      <c r="F435" s="188" t="str">
        <f t="shared" si="33"/>
        <v/>
      </c>
      <c r="G435" s="182"/>
      <c r="H435" s="182"/>
      <c r="I435" s="182"/>
      <c r="K435" s="139" t="str">
        <f t="shared" si="34"/>
        <v/>
      </c>
      <c r="L435" s="139" t="str">
        <f t="shared" si="35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1"/>
        <v/>
      </c>
      <c r="D436" s="136" t="str">
        <f t="shared" si="32"/>
        <v/>
      </c>
      <c r="E436" s="148"/>
      <c r="F436" s="188" t="str">
        <f t="shared" si="33"/>
        <v/>
      </c>
      <c r="G436" s="182"/>
      <c r="H436" s="182"/>
      <c r="I436" s="182"/>
      <c r="K436" s="139" t="str">
        <f t="shared" si="34"/>
        <v/>
      </c>
      <c r="L436" s="139" t="str">
        <f t="shared" si="35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1"/>
        <v/>
      </c>
      <c r="D437" s="136" t="str">
        <f t="shared" si="32"/>
        <v/>
      </c>
      <c r="E437" s="148"/>
      <c r="F437" s="188" t="str">
        <f t="shared" si="33"/>
        <v/>
      </c>
      <c r="G437" s="182"/>
      <c r="H437" s="182"/>
      <c r="I437" s="182"/>
      <c r="K437" s="139" t="str">
        <f t="shared" si="34"/>
        <v/>
      </c>
      <c r="L437" s="139" t="str">
        <f t="shared" si="35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1"/>
        <v/>
      </c>
      <c r="D438" s="136" t="str">
        <f t="shared" si="32"/>
        <v/>
      </c>
      <c r="E438" s="148"/>
      <c r="F438" s="188" t="str">
        <f t="shared" si="33"/>
        <v/>
      </c>
      <c r="G438" s="182"/>
      <c r="H438" s="182"/>
      <c r="I438" s="182"/>
      <c r="K438" s="139" t="str">
        <f t="shared" si="34"/>
        <v/>
      </c>
      <c r="L438" s="139" t="str">
        <f t="shared" si="35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1"/>
        <v/>
      </c>
      <c r="D439" s="136" t="str">
        <f t="shared" si="32"/>
        <v/>
      </c>
      <c r="E439" s="148"/>
      <c r="F439" s="188" t="str">
        <f t="shared" si="33"/>
        <v/>
      </c>
      <c r="G439" s="182"/>
      <c r="H439" s="182"/>
      <c r="I439" s="182"/>
      <c r="K439" s="139" t="str">
        <f t="shared" si="34"/>
        <v/>
      </c>
      <c r="L439" s="139" t="str">
        <f t="shared" si="35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1"/>
        <v/>
      </c>
      <c r="D440" s="136" t="str">
        <f t="shared" si="32"/>
        <v/>
      </c>
      <c r="E440" s="148"/>
      <c r="F440" s="188" t="str">
        <f t="shared" si="33"/>
        <v/>
      </c>
      <c r="G440" s="182"/>
      <c r="H440" s="182"/>
      <c r="I440" s="182"/>
      <c r="K440" s="139" t="str">
        <f t="shared" si="34"/>
        <v/>
      </c>
      <c r="L440" s="139" t="str">
        <f t="shared" si="35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1"/>
        <v/>
      </c>
      <c r="D441" s="136" t="str">
        <f t="shared" si="32"/>
        <v/>
      </c>
      <c r="E441" s="148"/>
      <c r="F441" s="188" t="str">
        <f t="shared" si="33"/>
        <v/>
      </c>
      <c r="G441" s="182"/>
      <c r="H441" s="182"/>
      <c r="I441" s="182"/>
      <c r="K441" s="139" t="str">
        <f t="shared" si="34"/>
        <v/>
      </c>
      <c r="L441" s="139" t="str">
        <f t="shared" si="35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1"/>
        <v/>
      </c>
      <c r="D442" s="136" t="str">
        <f t="shared" si="32"/>
        <v/>
      </c>
      <c r="E442" s="148"/>
      <c r="F442" s="188" t="str">
        <f t="shared" si="33"/>
        <v/>
      </c>
      <c r="G442" s="182"/>
      <c r="H442" s="182"/>
      <c r="I442" s="182"/>
      <c r="K442" s="139" t="str">
        <f t="shared" si="34"/>
        <v/>
      </c>
      <c r="L442" s="139" t="str">
        <f t="shared" si="35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1"/>
        <v/>
      </c>
      <c r="D443" s="136" t="str">
        <f t="shared" si="32"/>
        <v/>
      </c>
      <c r="E443" s="148"/>
      <c r="F443" s="188" t="str">
        <f t="shared" si="33"/>
        <v/>
      </c>
      <c r="G443" s="182"/>
      <c r="H443" s="182"/>
      <c r="I443" s="182"/>
      <c r="K443" s="139" t="str">
        <f t="shared" si="34"/>
        <v/>
      </c>
      <c r="L443" s="139" t="str">
        <f t="shared" si="35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1"/>
        <v/>
      </c>
      <c r="D444" s="136" t="str">
        <f t="shared" si="32"/>
        <v/>
      </c>
      <c r="E444" s="148"/>
      <c r="F444" s="188" t="str">
        <f t="shared" si="33"/>
        <v/>
      </c>
      <c r="G444" s="182"/>
      <c r="H444" s="182"/>
      <c r="I444" s="182"/>
      <c r="K444" s="139" t="str">
        <f t="shared" si="34"/>
        <v/>
      </c>
      <c r="L444" s="139" t="str">
        <f t="shared" si="35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1"/>
        <v/>
      </c>
      <c r="D445" s="136" t="str">
        <f t="shared" si="32"/>
        <v/>
      </c>
      <c r="E445" s="148"/>
      <c r="F445" s="188" t="str">
        <f t="shared" si="33"/>
        <v/>
      </c>
      <c r="G445" s="182"/>
      <c r="H445" s="182"/>
      <c r="I445" s="182"/>
      <c r="K445" s="139" t="str">
        <f t="shared" si="34"/>
        <v/>
      </c>
      <c r="L445" s="139" t="str">
        <f t="shared" si="35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1"/>
        <v/>
      </c>
      <c r="D446" s="136" t="str">
        <f t="shared" si="32"/>
        <v/>
      </c>
      <c r="E446" s="148"/>
      <c r="F446" s="188" t="str">
        <f t="shared" si="33"/>
        <v/>
      </c>
      <c r="G446" s="182"/>
      <c r="H446" s="182"/>
      <c r="I446" s="182"/>
      <c r="K446" s="139" t="str">
        <f t="shared" si="34"/>
        <v/>
      </c>
      <c r="L446" s="139" t="str">
        <f t="shared" si="35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1"/>
        <v/>
      </c>
      <c r="D447" s="136" t="str">
        <f t="shared" si="32"/>
        <v/>
      </c>
      <c r="E447" s="148"/>
      <c r="F447" s="188" t="str">
        <f t="shared" si="33"/>
        <v/>
      </c>
      <c r="G447" s="182"/>
      <c r="H447" s="182"/>
      <c r="I447" s="182"/>
      <c r="K447" s="139" t="str">
        <f t="shared" si="34"/>
        <v/>
      </c>
      <c r="L447" s="139" t="str">
        <f t="shared" si="35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1"/>
        <v/>
      </c>
      <c r="D448" s="136" t="str">
        <f t="shared" si="32"/>
        <v/>
      </c>
      <c r="E448" s="148"/>
      <c r="F448" s="188" t="str">
        <f t="shared" si="33"/>
        <v/>
      </c>
      <c r="G448" s="182"/>
      <c r="H448" s="182"/>
      <c r="I448" s="182"/>
      <c r="K448" s="139" t="str">
        <f t="shared" si="34"/>
        <v/>
      </c>
      <c r="L448" s="139" t="str">
        <f t="shared" si="35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1"/>
        <v/>
      </c>
      <c r="D449" s="136" t="str">
        <f t="shared" si="32"/>
        <v/>
      </c>
      <c r="E449" s="148"/>
      <c r="F449" s="188" t="str">
        <f t="shared" si="33"/>
        <v/>
      </c>
      <c r="G449" s="182"/>
      <c r="H449" s="182"/>
      <c r="I449" s="182"/>
      <c r="K449" s="139" t="str">
        <f t="shared" si="34"/>
        <v/>
      </c>
      <c r="L449" s="139" t="str">
        <f t="shared" si="35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1"/>
        <v/>
      </c>
      <c r="D450" s="136" t="str">
        <f t="shared" si="32"/>
        <v/>
      </c>
      <c r="E450" s="148"/>
      <c r="F450" s="188" t="str">
        <f t="shared" si="33"/>
        <v/>
      </c>
      <c r="G450" s="182"/>
      <c r="H450" s="182"/>
      <c r="I450" s="182"/>
      <c r="K450" s="139" t="str">
        <f t="shared" si="34"/>
        <v/>
      </c>
      <c r="L450" s="139" t="str">
        <f t="shared" si="35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ref="C451:C500" si="36">IFERROR(VLOOKUP(E451,$Q$6:$T$104,3,FALSE),"")</f>
        <v/>
      </c>
      <c r="D451" s="136" t="str">
        <f t="shared" ref="D451:D500" si="37">IFERROR(VLOOKUP(E451,$Q$6:$T$104,4,FALSE),"")</f>
        <v/>
      </c>
      <c r="E451" s="148"/>
      <c r="F451" s="188" t="str">
        <f t="shared" ref="F451:F500" si="38">IFERROR(VLOOKUP(E451,$Q$6:$T$104,2,FALSE),"")</f>
        <v/>
      </c>
      <c r="G451" s="182"/>
      <c r="H451" s="182"/>
      <c r="I451" s="182"/>
      <c r="K451" s="139" t="str">
        <f t="shared" ref="K451:K500" si="39">LEFT(E451,3)</f>
        <v/>
      </c>
      <c r="L451" s="139" t="str">
        <f t="shared" ref="L451:L500" si="40">LEFT(E451,2)</f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si="36"/>
        <v/>
      </c>
      <c r="D452" s="136" t="str">
        <f t="shared" si="37"/>
        <v/>
      </c>
      <c r="E452" s="148"/>
      <c r="F452" s="188" t="str">
        <f t="shared" si="38"/>
        <v/>
      </c>
      <c r="G452" s="182"/>
      <c r="H452" s="182"/>
      <c r="I452" s="182"/>
      <c r="K452" s="139" t="str">
        <f t="shared" si="39"/>
        <v/>
      </c>
      <c r="L452" s="139" t="str">
        <f t="shared" si="40"/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6"/>
        <v/>
      </c>
      <c r="D453" s="136" t="str">
        <f t="shared" si="37"/>
        <v/>
      </c>
      <c r="E453" s="148"/>
      <c r="F453" s="188" t="str">
        <f t="shared" si="38"/>
        <v/>
      </c>
      <c r="G453" s="182"/>
      <c r="H453" s="182"/>
      <c r="I453" s="182"/>
      <c r="K453" s="139" t="str">
        <f t="shared" si="39"/>
        <v/>
      </c>
      <c r="L453" s="139" t="str">
        <f t="shared" si="40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6"/>
        <v/>
      </c>
      <c r="D454" s="136" t="str">
        <f t="shared" si="37"/>
        <v/>
      </c>
      <c r="E454" s="148"/>
      <c r="F454" s="188" t="str">
        <f t="shared" si="38"/>
        <v/>
      </c>
      <c r="G454" s="182"/>
      <c r="H454" s="182"/>
      <c r="I454" s="182"/>
      <c r="K454" s="139" t="str">
        <f t="shared" si="39"/>
        <v/>
      </c>
      <c r="L454" s="139" t="str">
        <f t="shared" si="40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6"/>
        <v/>
      </c>
      <c r="D455" s="136" t="str">
        <f t="shared" si="37"/>
        <v/>
      </c>
      <c r="E455" s="148"/>
      <c r="F455" s="188" t="str">
        <f t="shared" si="38"/>
        <v/>
      </c>
      <c r="G455" s="182"/>
      <c r="H455" s="182"/>
      <c r="I455" s="182"/>
      <c r="K455" s="139" t="str">
        <f t="shared" si="39"/>
        <v/>
      </c>
      <c r="L455" s="139" t="str">
        <f t="shared" si="40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6"/>
        <v/>
      </c>
      <c r="D456" s="136" t="str">
        <f t="shared" si="37"/>
        <v/>
      </c>
      <c r="E456" s="148"/>
      <c r="F456" s="188" t="str">
        <f t="shared" si="38"/>
        <v/>
      </c>
      <c r="G456" s="182"/>
      <c r="H456" s="182"/>
      <c r="I456" s="182"/>
      <c r="K456" s="139" t="str">
        <f t="shared" si="39"/>
        <v/>
      </c>
      <c r="L456" s="139" t="str">
        <f t="shared" si="40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6"/>
        <v/>
      </c>
      <c r="D457" s="136" t="str">
        <f t="shared" si="37"/>
        <v/>
      </c>
      <c r="E457" s="148"/>
      <c r="F457" s="188" t="str">
        <f t="shared" si="38"/>
        <v/>
      </c>
      <c r="G457" s="182"/>
      <c r="H457" s="182"/>
      <c r="I457" s="182"/>
      <c r="K457" s="139" t="str">
        <f t="shared" si="39"/>
        <v/>
      </c>
      <c r="L457" s="139" t="str">
        <f t="shared" si="40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6"/>
        <v/>
      </c>
      <c r="D458" s="136" t="str">
        <f t="shared" si="37"/>
        <v/>
      </c>
      <c r="E458" s="148"/>
      <c r="F458" s="188" t="str">
        <f t="shared" si="38"/>
        <v/>
      </c>
      <c r="G458" s="182"/>
      <c r="H458" s="182"/>
      <c r="I458" s="182"/>
      <c r="K458" s="139" t="str">
        <f t="shared" si="39"/>
        <v/>
      </c>
      <c r="L458" s="139" t="str">
        <f t="shared" si="40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6"/>
        <v/>
      </c>
      <c r="D459" s="136" t="str">
        <f t="shared" si="37"/>
        <v/>
      </c>
      <c r="E459" s="148"/>
      <c r="F459" s="188" t="str">
        <f t="shared" si="38"/>
        <v/>
      </c>
      <c r="G459" s="182"/>
      <c r="H459" s="182"/>
      <c r="I459" s="182"/>
      <c r="K459" s="139" t="str">
        <f t="shared" si="39"/>
        <v/>
      </c>
      <c r="L459" s="139" t="str">
        <f t="shared" si="40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6"/>
        <v/>
      </c>
      <c r="D460" s="136" t="str">
        <f t="shared" si="37"/>
        <v/>
      </c>
      <c r="E460" s="148"/>
      <c r="F460" s="188" t="str">
        <f t="shared" si="38"/>
        <v/>
      </c>
      <c r="G460" s="182"/>
      <c r="H460" s="182"/>
      <c r="I460" s="182"/>
      <c r="K460" s="139" t="str">
        <f t="shared" si="39"/>
        <v/>
      </c>
      <c r="L460" s="139" t="str">
        <f t="shared" si="40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6"/>
        <v/>
      </c>
      <c r="D461" s="136" t="str">
        <f t="shared" si="37"/>
        <v/>
      </c>
      <c r="E461" s="148"/>
      <c r="F461" s="188" t="str">
        <f t="shared" si="38"/>
        <v/>
      </c>
      <c r="G461" s="182"/>
      <c r="H461" s="182"/>
      <c r="I461" s="182"/>
      <c r="K461" s="139" t="str">
        <f t="shared" si="39"/>
        <v/>
      </c>
      <c r="L461" s="139" t="str">
        <f t="shared" si="40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6"/>
        <v/>
      </c>
      <c r="D462" s="136" t="str">
        <f t="shared" si="37"/>
        <v/>
      </c>
      <c r="E462" s="148"/>
      <c r="F462" s="188" t="str">
        <f t="shared" si="38"/>
        <v/>
      </c>
      <c r="G462" s="182"/>
      <c r="H462" s="182"/>
      <c r="I462" s="182"/>
      <c r="K462" s="139" t="str">
        <f t="shared" si="39"/>
        <v/>
      </c>
      <c r="L462" s="139" t="str">
        <f t="shared" si="40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6"/>
        <v/>
      </c>
      <c r="D463" s="136" t="str">
        <f t="shared" si="37"/>
        <v/>
      </c>
      <c r="E463" s="148"/>
      <c r="F463" s="188" t="str">
        <f t="shared" si="38"/>
        <v/>
      </c>
      <c r="G463" s="182"/>
      <c r="H463" s="182"/>
      <c r="I463" s="182"/>
      <c r="K463" s="139" t="str">
        <f t="shared" si="39"/>
        <v/>
      </c>
      <c r="L463" s="139" t="str">
        <f t="shared" si="40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6"/>
        <v/>
      </c>
      <c r="D464" s="136" t="str">
        <f t="shared" si="37"/>
        <v/>
      </c>
      <c r="E464" s="148"/>
      <c r="F464" s="188" t="str">
        <f t="shared" si="38"/>
        <v/>
      </c>
      <c r="G464" s="182"/>
      <c r="H464" s="182"/>
      <c r="I464" s="182"/>
      <c r="K464" s="139" t="str">
        <f t="shared" si="39"/>
        <v/>
      </c>
      <c r="L464" s="139" t="str">
        <f t="shared" si="40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6"/>
        <v/>
      </c>
      <c r="D465" s="136" t="str">
        <f t="shared" si="37"/>
        <v/>
      </c>
      <c r="E465" s="148"/>
      <c r="F465" s="188" t="str">
        <f t="shared" si="38"/>
        <v/>
      </c>
      <c r="G465" s="182"/>
      <c r="H465" s="182"/>
      <c r="I465" s="182"/>
      <c r="K465" s="139" t="str">
        <f t="shared" si="39"/>
        <v/>
      </c>
      <c r="L465" s="139" t="str">
        <f t="shared" si="40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6"/>
        <v/>
      </c>
      <c r="D466" s="136" t="str">
        <f t="shared" si="37"/>
        <v/>
      </c>
      <c r="E466" s="148"/>
      <c r="F466" s="188" t="str">
        <f t="shared" si="38"/>
        <v/>
      </c>
      <c r="G466" s="182"/>
      <c r="H466" s="182"/>
      <c r="I466" s="182"/>
      <c r="K466" s="139" t="str">
        <f t="shared" si="39"/>
        <v/>
      </c>
      <c r="L466" s="139" t="str">
        <f t="shared" si="40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6"/>
        <v/>
      </c>
      <c r="D467" s="136" t="str">
        <f t="shared" si="37"/>
        <v/>
      </c>
      <c r="E467" s="148"/>
      <c r="F467" s="188" t="str">
        <f t="shared" si="38"/>
        <v/>
      </c>
      <c r="G467" s="182"/>
      <c r="H467" s="182"/>
      <c r="I467" s="182"/>
      <c r="K467" s="139" t="str">
        <f t="shared" si="39"/>
        <v/>
      </c>
      <c r="L467" s="139" t="str">
        <f t="shared" si="40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6"/>
        <v/>
      </c>
      <c r="D468" s="136" t="str">
        <f t="shared" si="37"/>
        <v/>
      </c>
      <c r="E468" s="148"/>
      <c r="F468" s="188" t="str">
        <f t="shared" si="38"/>
        <v/>
      </c>
      <c r="G468" s="182"/>
      <c r="H468" s="182"/>
      <c r="I468" s="182"/>
      <c r="K468" s="139" t="str">
        <f t="shared" si="39"/>
        <v/>
      </c>
      <c r="L468" s="139" t="str">
        <f t="shared" si="40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6"/>
        <v/>
      </c>
      <c r="D469" s="136" t="str">
        <f t="shared" si="37"/>
        <v/>
      </c>
      <c r="E469" s="148"/>
      <c r="F469" s="188" t="str">
        <f t="shared" si="38"/>
        <v/>
      </c>
      <c r="G469" s="182"/>
      <c r="H469" s="182"/>
      <c r="I469" s="182"/>
      <c r="K469" s="139" t="str">
        <f t="shared" si="39"/>
        <v/>
      </c>
      <c r="L469" s="139" t="str">
        <f t="shared" si="40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6"/>
        <v/>
      </c>
      <c r="D470" s="136" t="str">
        <f t="shared" si="37"/>
        <v/>
      </c>
      <c r="E470" s="148"/>
      <c r="F470" s="188" t="str">
        <f t="shared" si="38"/>
        <v/>
      </c>
      <c r="G470" s="182"/>
      <c r="H470" s="182"/>
      <c r="I470" s="182"/>
      <c r="K470" s="139" t="str">
        <f t="shared" si="39"/>
        <v/>
      </c>
      <c r="L470" s="139" t="str">
        <f t="shared" si="40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6"/>
        <v/>
      </c>
      <c r="D471" s="136" t="str">
        <f t="shared" si="37"/>
        <v/>
      </c>
      <c r="E471" s="148"/>
      <c r="F471" s="188" t="str">
        <f t="shared" si="38"/>
        <v/>
      </c>
      <c r="G471" s="182"/>
      <c r="H471" s="182"/>
      <c r="I471" s="182"/>
      <c r="K471" s="139" t="str">
        <f t="shared" si="39"/>
        <v/>
      </c>
      <c r="L471" s="139" t="str">
        <f t="shared" si="40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6"/>
        <v/>
      </c>
      <c r="D472" s="136" t="str">
        <f t="shared" si="37"/>
        <v/>
      </c>
      <c r="E472" s="148"/>
      <c r="F472" s="188" t="str">
        <f t="shared" si="38"/>
        <v/>
      </c>
      <c r="G472" s="182"/>
      <c r="H472" s="182"/>
      <c r="I472" s="182"/>
      <c r="K472" s="139" t="str">
        <f t="shared" si="39"/>
        <v/>
      </c>
      <c r="L472" s="139" t="str">
        <f t="shared" si="40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6"/>
        <v/>
      </c>
      <c r="D473" s="136" t="str">
        <f t="shared" si="37"/>
        <v/>
      </c>
      <c r="E473" s="148"/>
      <c r="F473" s="188" t="str">
        <f t="shared" si="38"/>
        <v/>
      </c>
      <c r="G473" s="182"/>
      <c r="H473" s="182"/>
      <c r="I473" s="182"/>
      <c r="K473" s="139" t="str">
        <f t="shared" si="39"/>
        <v/>
      </c>
      <c r="L473" s="139" t="str">
        <f t="shared" si="40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6"/>
        <v/>
      </c>
      <c r="D474" s="136" t="str">
        <f t="shared" si="37"/>
        <v/>
      </c>
      <c r="E474" s="148"/>
      <c r="F474" s="188" t="str">
        <f t="shared" si="38"/>
        <v/>
      </c>
      <c r="G474" s="182"/>
      <c r="H474" s="182"/>
      <c r="I474" s="182"/>
      <c r="K474" s="139" t="str">
        <f t="shared" si="39"/>
        <v/>
      </c>
      <c r="L474" s="139" t="str">
        <f t="shared" si="40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6"/>
        <v/>
      </c>
      <c r="D475" s="136" t="str">
        <f t="shared" si="37"/>
        <v/>
      </c>
      <c r="E475" s="148"/>
      <c r="F475" s="188" t="str">
        <f t="shared" si="38"/>
        <v/>
      </c>
      <c r="G475" s="182"/>
      <c r="H475" s="182"/>
      <c r="I475" s="182"/>
      <c r="K475" s="139" t="str">
        <f t="shared" si="39"/>
        <v/>
      </c>
      <c r="L475" s="139" t="str">
        <f t="shared" si="40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6"/>
        <v/>
      </c>
      <c r="D476" s="136" t="str">
        <f t="shared" si="37"/>
        <v/>
      </c>
      <c r="E476" s="148"/>
      <c r="F476" s="188" t="str">
        <f t="shared" si="38"/>
        <v/>
      </c>
      <c r="G476" s="182"/>
      <c r="H476" s="182"/>
      <c r="I476" s="182"/>
      <c r="K476" s="139" t="str">
        <f t="shared" si="39"/>
        <v/>
      </c>
      <c r="L476" s="139" t="str">
        <f t="shared" si="40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6"/>
        <v/>
      </c>
      <c r="D477" s="136" t="str">
        <f t="shared" si="37"/>
        <v/>
      </c>
      <c r="E477" s="148"/>
      <c r="F477" s="188" t="str">
        <f t="shared" si="38"/>
        <v/>
      </c>
      <c r="G477" s="182"/>
      <c r="H477" s="182"/>
      <c r="I477" s="182"/>
      <c r="K477" s="139" t="str">
        <f t="shared" si="39"/>
        <v/>
      </c>
      <c r="L477" s="139" t="str">
        <f t="shared" si="40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6"/>
        <v/>
      </c>
      <c r="D478" s="136" t="str">
        <f t="shared" si="37"/>
        <v/>
      </c>
      <c r="E478" s="148"/>
      <c r="F478" s="188" t="str">
        <f t="shared" si="38"/>
        <v/>
      </c>
      <c r="G478" s="182"/>
      <c r="H478" s="182"/>
      <c r="I478" s="182"/>
      <c r="K478" s="139" t="str">
        <f t="shared" si="39"/>
        <v/>
      </c>
      <c r="L478" s="139" t="str">
        <f t="shared" si="40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6"/>
        <v/>
      </c>
      <c r="D479" s="136" t="str">
        <f t="shared" si="37"/>
        <v/>
      </c>
      <c r="E479" s="148"/>
      <c r="F479" s="188" t="str">
        <f t="shared" si="38"/>
        <v/>
      </c>
      <c r="G479" s="182"/>
      <c r="H479" s="182"/>
      <c r="I479" s="182"/>
      <c r="K479" s="139" t="str">
        <f t="shared" si="39"/>
        <v/>
      </c>
      <c r="L479" s="139" t="str">
        <f t="shared" si="40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6"/>
        <v/>
      </c>
      <c r="D480" s="136" t="str">
        <f t="shared" si="37"/>
        <v/>
      </c>
      <c r="E480" s="148"/>
      <c r="F480" s="188" t="str">
        <f t="shared" si="38"/>
        <v/>
      </c>
      <c r="G480" s="182"/>
      <c r="H480" s="182"/>
      <c r="I480" s="182"/>
      <c r="K480" s="139" t="str">
        <f t="shared" si="39"/>
        <v/>
      </c>
      <c r="L480" s="139" t="str">
        <f t="shared" si="40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6"/>
        <v/>
      </c>
      <c r="D481" s="136" t="str">
        <f t="shared" si="37"/>
        <v/>
      </c>
      <c r="E481" s="148"/>
      <c r="F481" s="188" t="str">
        <f t="shared" si="38"/>
        <v/>
      </c>
      <c r="G481" s="182"/>
      <c r="H481" s="182"/>
      <c r="I481" s="182"/>
      <c r="K481" s="139" t="str">
        <f t="shared" si="39"/>
        <v/>
      </c>
      <c r="L481" s="139" t="str">
        <f t="shared" si="40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6"/>
        <v/>
      </c>
      <c r="D482" s="136" t="str">
        <f t="shared" si="37"/>
        <v/>
      </c>
      <c r="E482" s="148"/>
      <c r="F482" s="188" t="str">
        <f t="shared" si="38"/>
        <v/>
      </c>
      <c r="G482" s="182"/>
      <c r="H482" s="182"/>
      <c r="I482" s="182"/>
      <c r="K482" s="139" t="str">
        <f t="shared" si="39"/>
        <v/>
      </c>
      <c r="L482" s="139" t="str">
        <f t="shared" si="40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6"/>
        <v/>
      </c>
      <c r="D483" s="136" t="str">
        <f t="shared" si="37"/>
        <v/>
      </c>
      <c r="E483" s="148"/>
      <c r="F483" s="188" t="str">
        <f t="shared" si="38"/>
        <v/>
      </c>
      <c r="G483" s="182"/>
      <c r="H483" s="182"/>
      <c r="I483" s="182"/>
      <c r="K483" s="139" t="str">
        <f t="shared" si="39"/>
        <v/>
      </c>
      <c r="L483" s="139" t="str">
        <f t="shared" si="40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6"/>
        <v/>
      </c>
      <c r="D484" s="136" t="str">
        <f t="shared" si="37"/>
        <v/>
      </c>
      <c r="E484" s="148"/>
      <c r="F484" s="188" t="str">
        <f t="shared" si="38"/>
        <v/>
      </c>
      <c r="G484" s="182"/>
      <c r="H484" s="182"/>
      <c r="I484" s="182"/>
      <c r="K484" s="139" t="str">
        <f t="shared" si="39"/>
        <v/>
      </c>
      <c r="L484" s="139" t="str">
        <f t="shared" si="40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6"/>
        <v/>
      </c>
      <c r="D485" s="136" t="str">
        <f t="shared" si="37"/>
        <v/>
      </c>
      <c r="E485" s="148"/>
      <c r="F485" s="188" t="str">
        <f t="shared" si="38"/>
        <v/>
      </c>
      <c r="G485" s="182"/>
      <c r="H485" s="182"/>
      <c r="I485" s="182"/>
      <c r="K485" s="139" t="str">
        <f t="shared" si="39"/>
        <v/>
      </c>
      <c r="L485" s="139" t="str">
        <f t="shared" si="40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6"/>
        <v/>
      </c>
      <c r="D486" s="136" t="str">
        <f t="shared" si="37"/>
        <v/>
      </c>
      <c r="E486" s="148"/>
      <c r="F486" s="188" t="str">
        <f t="shared" si="38"/>
        <v/>
      </c>
      <c r="G486" s="182"/>
      <c r="H486" s="182"/>
      <c r="I486" s="182"/>
      <c r="K486" s="139" t="str">
        <f t="shared" si="39"/>
        <v/>
      </c>
      <c r="L486" s="139" t="str">
        <f t="shared" si="40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6"/>
        <v/>
      </c>
      <c r="D487" s="136" t="str">
        <f t="shared" si="37"/>
        <v/>
      </c>
      <c r="E487" s="148"/>
      <c r="F487" s="188" t="str">
        <f t="shared" si="38"/>
        <v/>
      </c>
      <c r="G487" s="182"/>
      <c r="H487" s="182"/>
      <c r="I487" s="182"/>
      <c r="K487" s="139" t="str">
        <f t="shared" si="39"/>
        <v/>
      </c>
      <c r="L487" s="139" t="str">
        <f t="shared" si="40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6"/>
        <v/>
      </c>
      <c r="D488" s="136" t="str">
        <f t="shared" si="37"/>
        <v/>
      </c>
      <c r="E488" s="148"/>
      <c r="F488" s="188" t="str">
        <f t="shared" si="38"/>
        <v/>
      </c>
      <c r="G488" s="182"/>
      <c r="H488" s="182"/>
      <c r="I488" s="182"/>
      <c r="K488" s="139" t="str">
        <f t="shared" si="39"/>
        <v/>
      </c>
      <c r="L488" s="139" t="str">
        <f t="shared" si="40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6"/>
        <v/>
      </c>
      <c r="D489" s="136" t="str">
        <f t="shared" si="37"/>
        <v/>
      </c>
      <c r="E489" s="148"/>
      <c r="F489" s="188" t="str">
        <f t="shared" si="38"/>
        <v/>
      </c>
      <c r="G489" s="182"/>
      <c r="H489" s="182"/>
      <c r="I489" s="182"/>
      <c r="K489" s="139" t="str">
        <f t="shared" si="39"/>
        <v/>
      </c>
      <c r="L489" s="139" t="str">
        <f t="shared" si="40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6"/>
        <v/>
      </c>
      <c r="D490" s="136" t="str">
        <f t="shared" si="37"/>
        <v/>
      </c>
      <c r="E490" s="148"/>
      <c r="F490" s="188" t="str">
        <f t="shared" si="38"/>
        <v/>
      </c>
      <c r="G490" s="182"/>
      <c r="H490" s="182"/>
      <c r="I490" s="182"/>
      <c r="K490" s="139" t="str">
        <f t="shared" si="39"/>
        <v/>
      </c>
      <c r="L490" s="139" t="str">
        <f t="shared" si="40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6"/>
        <v/>
      </c>
      <c r="D491" s="136" t="str">
        <f t="shared" si="37"/>
        <v/>
      </c>
      <c r="E491" s="148"/>
      <c r="F491" s="188" t="str">
        <f t="shared" si="38"/>
        <v/>
      </c>
      <c r="G491" s="182"/>
      <c r="H491" s="182"/>
      <c r="I491" s="182"/>
      <c r="K491" s="139" t="str">
        <f t="shared" si="39"/>
        <v/>
      </c>
      <c r="L491" s="139" t="str">
        <f t="shared" si="40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6"/>
        <v/>
      </c>
      <c r="D492" s="136" t="str">
        <f t="shared" si="37"/>
        <v/>
      </c>
      <c r="E492" s="148"/>
      <c r="F492" s="188" t="str">
        <f t="shared" si="38"/>
        <v/>
      </c>
      <c r="G492" s="182"/>
      <c r="H492" s="182"/>
      <c r="I492" s="182"/>
      <c r="K492" s="139" t="str">
        <f t="shared" si="39"/>
        <v/>
      </c>
      <c r="L492" s="139" t="str">
        <f t="shared" si="40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6"/>
        <v/>
      </c>
      <c r="D493" s="136" t="str">
        <f t="shared" si="37"/>
        <v/>
      </c>
      <c r="E493" s="148"/>
      <c r="F493" s="188" t="str">
        <f t="shared" si="38"/>
        <v/>
      </c>
      <c r="G493" s="182"/>
      <c r="H493" s="182"/>
      <c r="I493" s="182"/>
      <c r="K493" s="139" t="str">
        <f t="shared" si="39"/>
        <v/>
      </c>
      <c r="L493" s="139" t="str">
        <f t="shared" si="40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6"/>
        <v/>
      </c>
      <c r="D494" s="136" t="str">
        <f t="shared" si="37"/>
        <v/>
      </c>
      <c r="E494" s="148"/>
      <c r="F494" s="188" t="str">
        <f t="shared" si="38"/>
        <v/>
      </c>
      <c r="G494" s="182"/>
      <c r="H494" s="182"/>
      <c r="I494" s="182"/>
      <c r="K494" s="139" t="str">
        <f t="shared" si="39"/>
        <v/>
      </c>
      <c r="L494" s="139" t="str">
        <f t="shared" si="40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6"/>
        <v/>
      </c>
      <c r="D495" s="136" t="str">
        <f t="shared" si="37"/>
        <v/>
      </c>
      <c r="E495" s="148"/>
      <c r="F495" s="188" t="str">
        <f t="shared" si="38"/>
        <v/>
      </c>
      <c r="G495" s="182"/>
      <c r="H495" s="182"/>
      <c r="I495" s="182"/>
      <c r="K495" s="139" t="str">
        <f t="shared" si="39"/>
        <v/>
      </c>
      <c r="L495" s="139" t="str">
        <f t="shared" si="40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6"/>
        <v/>
      </c>
      <c r="D496" s="136" t="str">
        <f t="shared" si="37"/>
        <v/>
      </c>
      <c r="E496" s="148"/>
      <c r="F496" s="188" t="str">
        <f t="shared" si="38"/>
        <v/>
      </c>
      <c r="G496" s="182"/>
      <c r="H496" s="182"/>
      <c r="I496" s="182"/>
      <c r="K496" s="139" t="str">
        <f t="shared" si="39"/>
        <v/>
      </c>
      <c r="L496" s="139" t="str">
        <f t="shared" si="40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6"/>
        <v/>
      </c>
      <c r="D497" s="136" t="str">
        <f t="shared" si="37"/>
        <v/>
      </c>
      <c r="E497" s="148"/>
      <c r="F497" s="188" t="str">
        <f t="shared" si="38"/>
        <v/>
      </c>
      <c r="G497" s="182"/>
      <c r="H497" s="182"/>
      <c r="I497" s="182"/>
      <c r="K497" s="139" t="str">
        <f t="shared" si="39"/>
        <v/>
      </c>
      <c r="L497" s="139" t="str">
        <f t="shared" si="40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6"/>
        <v/>
      </c>
      <c r="D498" s="136" t="str">
        <f t="shared" si="37"/>
        <v/>
      </c>
      <c r="E498" s="148"/>
      <c r="F498" s="188" t="str">
        <f t="shared" si="38"/>
        <v/>
      </c>
      <c r="G498" s="182"/>
      <c r="H498" s="182"/>
      <c r="I498" s="182"/>
      <c r="K498" s="139" t="str">
        <f t="shared" si="39"/>
        <v/>
      </c>
      <c r="L498" s="139" t="str">
        <f t="shared" si="40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6"/>
        <v/>
      </c>
      <c r="D499" s="136" t="str">
        <f t="shared" si="37"/>
        <v/>
      </c>
      <c r="E499" s="148"/>
      <c r="F499" s="188" t="str">
        <f t="shared" si="38"/>
        <v/>
      </c>
      <c r="G499" s="182"/>
      <c r="H499" s="182"/>
      <c r="I499" s="182"/>
      <c r="K499" s="139" t="str">
        <f t="shared" si="39"/>
        <v/>
      </c>
      <c r="L499" s="139" t="str">
        <f t="shared" si="40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6"/>
        <v/>
      </c>
      <c r="D500" s="136" t="str">
        <f t="shared" si="37"/>
        <v/>
      </c>
      <c r="E500" s="148"/>
      <c r="F500" s="188" t="str">
        <f t="shared" si="38"/>
        <v/>
      </c>
      <c r="G500" s="182"/>
      <c r="H500" s="182"/>
      <c r="I500" s="182"/>
      <c r="K500" s="139" t="str">
        <f t="shared" si="39"/>
        <v/>
      </c>
      <c r="L500" s="139" t="str">
        <f t="shared" si="40"/>
        <v/>
      </c>
    </row>
    <row r="501" spans="1:12"/>
    <row r="502" spans="1:12"/>
  </sheetData>
  <autoFilter ref="Q5:U108" xr:uid="{00000000-0009-0000-0000-000001000000}"/>
  <sortState ref="Q8:U104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0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0" xr:uid="{00000000-0002-0000-0100-000001000000}">
      <formula1>$Q$6:$Q$104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48"/>
  <sheetViews>
    <sheetView showGridLines="0" zoomScale="87" zoomScaleNormal="87" workbookViewId="0">
      <pane ySplit="2" topLeftCell="A162" activePane="bottomLeft" state="frozen"/>
      <selection pane="bottomLeft" activeCell="K182" activeCellId="4" sqref="K3 K6 K12 K13 K182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2" t="s">
        <v>730</v>
      </c>
      <c r="B1" s="272"/>
      <c r="C1" s="272"/>
      <c r="D1" s="272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758</v>
      </c>
      <c r="D2" s="141" t="s">
        <v>45</v>
      </c>
      <c r="E2" s="146" t="s">
        <v>756</v>
      </c>
      <c r="F2" s="141" t="s">
        <v>757</v>
      </c>
      <c r="G2" s="146" t="s">
        <v>759</v>
      </c>
      <c r="H2" s="141" t="s">
        <v>47</v>
      </c>
      <c r="I2" s="189" t="s">
        <v>1988</v>
      </c>
      <c r="J2" s="189" t="s">
        <v>3492</v>
      </c>
      <c r="K2" s="189" t="s">
        <v>3485</v>
      </c>
      <c r="M2" s="142" t="s">
        <v>732</v>
      </c>
      <c r="N2" s="142" t="s">
        <v>733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:F34" si="1">IFERROR(VLOOKUP(E3,$R$5:$T$144,2,FALSE),"")</f>
        <v>Plaće za redovan rad</v>
      </c>
      <c r="G3" s="183" t="s">
        <v>72</v>
      </c>
      <c r="H3" s="144" t="str">
        <f t="shared" ref="H3:H46" si="2">IFERROR(VLOOKUP(G3,$X$6:$Y$321,2,FALSE),"")</f>
        <v>REDOVNA DJELATNOST SVEUČILIŠTA U ZADRU</v>
      </c>
      <c r="I3" s="182">
        <v>95869196</v>
      </c>
      <c r="J3" s="257">
        <v>101045897</v>
      </c>
      <c r="K3" s="259">
        <f t="shared" ref="K3:K68" si="3">+J3-I3</f>
        <v>5176701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9" si="4">IFERROR(VLOOKUP(C4,$O$6:$P$23,2,FALSE),"")</f>
        <v>Opći prihodi i primici</v>
      </c>
      <c r="E4" s="149">
        <v>3114</v>
      </c>
      <c r="F4" s="144" t="str">
        <f t="shared" si="1"/>
        <v>Plaće za posebne uvjete rada</v>
      </c>
      <c r="G4" s="183" t="s">
        <v>72</v>
      </c>
      <c r="H4" s="144" t="str">
        <f t="shared" si="2"/>
        <v>REDOVNA DJELATNOST SVEUČILIŠTA U ZADRU</v>
      </c>
      <c r="I4" s="182">
        <v>159392</v>
      </c>
      <c r="J4" s="257">
        <v>159392</v>
      </c>
      <c r="K4" s="182">
        <f t="shared" si="3"/>
        <v>0</v>
      </c>
      <c r="M4" s="139" t="str">
        <f t="shared" ref="M4:M69" si="5">LEFT(E4,3)</f>
        <v>311</v>
      </c>
      <c r="N4" s="139" t="str">
        <f t="shared" ref="N4:N69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4"/>
        <v>Opći prihodi i primici</v>
      </c>
      <c r="E5" s="149">
        <v>3121</v>
      </c>
      <c r="F5" s="144" t="str">
        <f t="shared" si="1"/>
        <v>Ostali rashodi za zaposlene</v>
      </c>
      <c r="G5" s="183" t="s">
        <v>72</v>
      </c>
      <c r="H5" s="144" t="str">
        <f t="shared" si="2"/>
        <v>REDOVNA DJELATNOST SVEUČILIŠTA U ZADRU</v>
      </c>
      <c r="I5" s="182">
        <v>2914368</v>
      </c>
      <c r="J5" s="257">
        <v>2914368</v>
      </c>
      <c r="K5" s="182">
        <f t="shared" si="3"/>
        <v>0</v>
      </c>
      <c r="M5" s="139" t="str">
        <f t="shared" si="5"/>
        <v>312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4"/>
        <v>Opći prihodi i primici</v>
      </c>
      <c r="E6" s="149">
        <v>3132</v>
      </c>
      <c r="F6" s="144" t="str">
        <f t="shared" si="1"/>
        <v>Doprinosi za obvezno zdravstveno osiguranje</v>
      </c>
      <c r="G6" s="183" t="s">
        <v>72</v>
      </c>
      <c r="H6" s="144" t="str">
        <f t="shared" si="2"/>
        <v>REDOVNA DJELATNOST SVEUČILIŠTA U ZADRU</v>
      </c>
      <c r="I6" s="182">
        <v>15723994</v>
      </c>
      <c r="J6" s="257">
        <v>16634822</v>
      </c>
      <c r="K6" s="182">
        <f t="shared" si="3"/>
        <v>910828</v>
      </c>
      <c r="M6" s="139" t="str">
        <f t="shared" si="5"/>
        <v>313</v>
      </c>
      <c r="N6" s="139" t="str">
        <f t="shared" si="6"/>
        <v>31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1371</v>
      </c>
      <c r="Y6" s="139" t="s">
        <v>1371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4"/>
        <v>Opći prihodi i primici</v>
      </c>
      <c r="E7" s="149">
        <v>3212</v>
      </c>
      <c r="F7" s="144" t="str">
        <f t="shared" si="1"/>
        <v>Naknade za prijevoz, za rad na terenu i odvojeni život</v>
      </c>
      <c r="G7" s="183" t="s">
        <v>72</v>
      </c>
      <c r="H7" s="144" t="str">
        <f t="shared" si="2"/>
        <v>REDOVNA DJELATNOST SVEUČILIŠTA U ZADRU</v>
      </c>
      <c r="I7" s="182">
        <v>1284929</v>
      </c>
      <c r="J7" s="257">
        <v>1462225</v>
      </c>
      <c r="K7" s="182">
        <f t="shared" si="3"/>
        <v>177296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1989</v>
      </c>
      <c r="Y7" t="s">
        <v>1990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4"/>
        <v>Opći prihodi i primici</v>
      </c>
      <c r="E8" s="149">
        <v>3236</v>
      </c>
      <c r="F8" s="144" t="str">
        <f t="shared" si="1"/>
        <v>Zdravstvene i veterinarske usluge</v>
      </c>
      <c r="G8" s="183" t="s">
        <v>72</v>
      </c>
      <c r="H8" s="144" t="str">
        <f t="shared" si="2"/>
        <v>REDOVNA DJELATNOST SVEUČILIŠTA U ZADRU</v>
      </c>
      <c r="I8" s="182">
        <v>116000</v>
      </c>
      <c r="J8" s="257">
        <v>116407</v>
      </c>
      <c r="K8" s="182">
        <f t="shared" si="3"/>
        <v>407</v>
      </c>
      <c r="M8" s="139" t="str">
        <f t="shared" si="5"/>
        <v>323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1991</v>
      </c>
      <c r="Y8" t="s">
        <v>1992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4"/>
        <v>Opći prihodi i primici</v>
      </c>
      <c r="E9" s="149">
        <v>3295</v>
      </c>
      <c r="F9" s="144" t="str">
        <f t="shared" si="1"/>
        <v>Pristojbe i naknade</v>
      </c>
      <c r="G9" s="183" t="s">
        <v>72</v>
      </c>
      <c r="H9" s="144" t="str">
        <f t="shared" si="2"/>
        <v>REDOVNA DJELATNOST SVEUČILIŠTA U ZADRU</v>
      </c>
      <c r="I9" s="182">
        <v>170000</v>
      </c>
      <c r="J9" s="257">
        <v>189763</v>
      </c>
      <c r="K9" s="182">
        <f t="shared" si="3"/>
        <v>19763</v>
      </c>
      <c r="M9" s="139" t="str">
        <f t="shared" si="5"/>
        <v>329</v>
      </c>
      <c r="N9" s="139" t="str">
        <f t="shared" si="6"/>
        <v>32</v>
      </c>
      <c r="O9">
        <v>41</v>
      </c>
      <c r="P9" t="s">
        <v>1346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1993</v>
      </c>
      <c r="Y9" t="s">
        <v>1994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4"/>
        <v>Opći prihodi i primici</v>
      </c>
      <c r="E10" s="149">
        <v>3811</v>
      </c>
      <c r="F10" s="144" t="str">
        <f t="shared" si="1"/>
        <v>Tekuće donacije u novcu</v>
      </c>
      <c r="G10" s="183" t="s">
        <v>72</v>
      </c>
      <c r="H10" s="144" t="str">
        <f t="shared" si="2"/>
        <v>REDOVNA DJELATNOST SVEUČILIŠTA U ZADRU</v>
      </c>
      <c r="I10" s="182">
        <v>6000000</v>
      </c>
      <c r="J10" s="257">
        <v>6200000</v>
      </c>
      <c r="K10" s="182">
        <f t="shared" si="3"/>
        <v>200000</v>
      </c>
      <c r="M10" s="139" t="str">
        <f t="shared" si="5"/>
        <v>381</v>
      </c>
      <c r="N10" s="139" t="str">
        <f t="shared" si="6"/>
        <v>38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2" si="7">LEFT(R10,2)</f>
        <v>31</v>
      </c>
      <c r="V10" s="192" t="str">
        <f t="shared" ref="V10:V42" si="8">LEFT(R10,3)</f>
        <v>313</v>
      </c>
      <c r="X10" t="s">
        <v>1812</v>
      </c>
      <c r="Y10" t="s">
        <v>1813</v>
      </c>
    </row>
    <row r="11" spans="1:25">
      <c r="A11" s="143" t="str">
        <f>IF(C11="","",VLOOKUP('Opći dio'!$C$3,'Opći dio'!$L$6:$U$137,10,FALSE))</f>
        <v/>
      </c>
      <c r="B11" s="143" t="str">
        <f>IF(C11="","",VLOOKUP('Opći dio'!$C$3,'Opći dio'!$L$6:$U$137,9,FALSE))</f>
        <v/>
      </c>
      <c r="C11" s="149"/>
      <c r="D11" s="144" t="str">
        <f t="shared" si="4"/>
        <v/>
      </c>
      <c r="E11" s="149"/>
      <c r="F11" s="144" t="str">
        <f t="shared" si="1"/>
        <v/>
      </c>
      <c r="G11" s="183"/>
      <c r="H11" s="144" t="str">
        <f t="shared" si="2"/>
        <v/>
      </c>
      <c r="I11" s="182"/>
      <c r="J11" s="257"/>
      <c r="K11" s="182"/>
      <c r="M11" s="139" t="str">
        <f t="shared" si="5"/>
        <v/>
      </c>
      <c r="N11" s="139" t="str">
        <f t="shared" si="6"/>
        <v/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1814</v>
      </c>
      <c r="Y11" t="s">
        <v>1815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4"/>
        <v>Opći prihodi i primici</v>
      </c>
      <c r="E12" s="149">
        <v>3113</v>
      </c>
      <c r="F12" s="144" t="str">
        <f t="shared" si="1"/>
        <v>Plaće za prekovremeni rad</v>
      </c>
      <c r="G12" s="183" t="s">
        <v>768</v>
      </c>
      <c r="H12" s="144" t="str">
        <f t="shared" si="2"/>
        <v>PROGRAMSKO FINANCIRANJE JAVNIH VISOKIH UČILIŠTA</v>
      </c>
      <c r="I12" s="182">
        <v>695500</v>
      </c>
      <c r="J12" s="257">
        <v>0</v>
      </c>
      <c r="K12" s="182">
        <f t="shared" si="3"/>
        <v>-695500</v>
      </c>
      <c r="M12" s="139" t="str">
        <f t="shared" si="5"/>
        <v>311</v>
      </c>
      <c r="N12" s="139" t="str">
        <f t="shared" si="6"/>
        <v>31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1995</v>
      </c>
      <c r="Y12" t="s">
        <v>1996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4"/>
        <v>Opći prihodi i primici</v>
      </c>
      <c r="E13" s="149">
        <v>3132</v>
      </c>
      <c r="F13" s="144" t="str">
        <f t="shared" si="1"/>
        <v>Doprinosi za obvezno zdravstveno osiguranje</v>
      </c>
      <c r="G13" s="183" t="s">
        <v>768</v>
      </c>
      <c r="H13" s="144" t="str">
        <f t="shared" si="2"/>
        <v>PROGRAMSKO FINANCIRANJE JAVNIH VISOKIH UČILIŠTA</v>
      </c>
      <c r="I13" s="182">
        <v>98050</v>
      </c>
      <c r="J13" s="257">
        <v>0</v>
      </c>
      <c r="K13" s="182">
        <f t="shared" si="3"/>
        <v>-98050</v>
      </c>
      <c r="M13" s="139" t="str">
        <f t="shared" si="5"/>
        <v>313</v>
      </c>
      <c r="N13" s="139" t="str">
        <f t="shared" si="6"/>
        <v>31</v>
      </c>
      <c r="O13">
        <v>552</v>
      </c>
      <c r="P13" t="s">
        <v>1347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1997</v>
      </c>
      <c r="Y13" t="s">
        <v>1998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4"/>
        <v>Opći prihodi i primici</v>
      </c>
      <c r="E14" s="149">
        <v>3211</v>
      </c>
      <c r="F14" s="144" t="str">
        <f t="shared" si="1"/>
        <v>Službena putovanja</v>
      </c>
      <c r="G14" s="183" t="s">
        <v>768</v>
      </c>
      <c r="H14" s="144" t="str">
        <f t="shared" si="2"/>
        <v>PROGRAMSKO FINANCIRANJE JAVNIH VISOKIH UČILIŠTA</v>
      </c>
      <c r="I14" s="182">
        <v>460000</v>
      </c>
      <c r="J14" s="257">
        <v>258878.75999999998</v>
      </c>
      <c r="K14" s="182">
        <f t="shared" si="3"/>
        <v>-201121.24000000002</v>
      </c>
      <c r="M14" s="139" t="str">
        <f t="shared" si="5"/>
        <v>321</v>
      </c>
      <c r="N14" s="139" t="str">
        <f t="shared" si="6"/>
        <v>32</v>
      </c>
      <c r="O14">
        <v>559</v>
      </c>
      <c r="P14" t="s">
        <v>1348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1999</v>
      </c>
      <c r="Y14" t="s">
        <v>2000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4"/>
        <v>Opći prihodi i primici</v>
      </c>
      <c r="E15" s="149">
        <v>3212</v>
      </c>
      <c r="F15" s="144" t="str">
        <f t="shared" si="1"/>
        <v>Naknade za prijevoz, za rad na terenu i odvojeni život</v>
      </c>
      <c r="G15" s="183" t="s">
        <v>768</v>
      </c>
      <c r="H15" s="144" t="str">
        <f t="shared" si="2"/>
        <v>PROGRAMSKO FINANCIRANJE JAVNIH VISOKIH UČILIŠTA</v>
      </c>
      <c r="I15" s="182">
        <v>20500</v>
      </c>
      <c r="J15" s="257">
        <v>11292</v>
      </c>
      <c r="K15" s="182">
        <f t="shared" si="3"/>
        <v>-9208</v>
      </c>
      <c r="M15" s="139" t="str">
        <f t="shared" si="5"/>
        <v>321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1062</v>
      </c>
      <c r="Y15" t="s">
        <v>1063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4"/>
        <v>Opći prihodi i primici</v>
      </c>
      <c r="E16" s="149">
        <v>3213</v>
      </c>
      <c r="F16" s="144" t="str">
        <f t="shared" si="1"/>
        <v>Stručno usavršavanje zaposlenika</v>
      </c>
      <c r="G16" s="183" t="s">
        <v>768</v>
      </c>
      <c r="H16" s="144" t="str">
        <f t="shared" si="2"/>
        <v>PROGRAMSKO FINANCIRANJE JAVNIH VISOKIH UČILIŠTA</v>
      </c>
      <c r="I16" s="182">
        <v>320000</v>
      </c>
      <c r="J16" s="257">
        <v>65172.2</v>
      </c>
      <c r="K16" s="182">
        <f t="shared" si="3"/>
        <v>-254827.8</v>
      </c>
      <c r="M16" s="139" t="str">
        <f t="shared" si="5"/>
        <v>321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1816</v>
      </c>
      <c r="Y16" t="s">
        <v>1817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4"/>
        <v>Opći prihodi i primici</v>
      </c>
      <c r="E17" s="149">
        <v>3221</v>
      </c>
      <c r="F17" s="144" t="str">
        <f t="shared" si="1"/>
        <v>Uredski materijal i ostali materijalni rashodi</v>
      </c>
      <c r="G17" s="183" t="s">
        <v>768</v>
      </c>
      <c r="H17" s="144" t="str">
        <f t="shared" si="2"/>
        <v>PROGRAMSKO FINANCIRANJE JAVNIH VISOKIH UČILIŠTA</v>
      </c>
      <c r="I17" s="182">
        <v>650000</v>
      </c>
      <c r="J17" s="257">
        <v>810205.15</v>
      </c>
      <c r="K17" s="182">
        <f t="shared" si="3"/>
        <v>160205.15000000002</v>
      </c>
      <c r="M17" s="139" t="str">
        <f t="shared" si="5"/>
        <v>322</v>
      </c>
      <c r="N17" s="139" t="str">
        <f t="shared" si="6"/>
        <v>32</v>
      </c>
      <c r="O17" s="139">
        <v>573</v>
      </c>
      <c r="P17" t="s">
        <v>1358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1064</v>
      </c>
      <c r="Y17" t="s">
        <v>1065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4"/>
        <v>Opći prihodi i primici</v>
      </c>
      <c r="E18" s="149">
        <v>3223</v>
      </c>
      <c r="F18" s="144" t="str">
        <f t="shared" si="1"/>
        <v>Energija</v>
      </c>
      <c r="G18" s="183" t="s">
        <v>768</v>
      </c>
      <c r="H18" s="144" t="str">
        <f t="shared" si="2"/>
        <v>PROGRAMSKO FINANCIRANJE JAVNIH VISOKIH UČILIŠTA</v>
      </c>
      <c r="I18" s="182">
        <v>800045</v>
      </c>
      <c r="J18" s="182">
        <v>3630929</v>
      </c>
      <c r="K18" s="259">
        <f t="shared" si="3"/>
        <v>2830884</v>
      </c>
      <c r="M18" s="139" t="str">
        <f t="shared" si="5"/>
        <v>322</v>
      </c>
      <c r="N18" s="139" t="str">
        <f t="shared" si="6"/>
        <v>32</v>
      </c>
      <c r="O18">
        <v>575</v>
      </c>
      <c r="P18" t="s">
        <v>1360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2001</v>
      </c>
      <c r="Y18" t="s">
        <v>2002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4"/>
        <v>Opći prihodi i primici</v>
      </c>
      <c r="E19" s="149">
        <v>3224</v>
      </c>
      <c r="F19" s="144" t="str">
        <f t="shared" si="1"/>
        <v>Materijal i dijelovi za tekuće i investicijsko održavanje</v>
      </c>
      <c r="G19" s="183" t="s">
        <v>768</v>
      </c>
      <c r="H19" s="144" t="str">
        <f t="shared" si="2"/>
        <v>PROGRAMSKO FINANCIRANJE JAVNIH VISOKIH UČILIŠTA</v>
      </c>
      <c r="I19" s="182">
        <v>76019</v>
      </c>
      <c r="J19" s="182">
        <v>12906.65</v>
      </c>
      <c r="K19" s="182">
        <f t="shared" si="3"/>
        <v>-63112.35</v>
      </c>
      <c r="M19" s="139" t="str">
        <f t="shared" si="5"/>
        <v>322</v>
      </c>
      <c r="N19" s="139" t="str">
        <f t="shared" si="6"/>
        <v>32</v>
      </c>
      <c r="O19" s="200">
        <v>576</v>
      </c>
      <c r="P19" s="236" t="s">
        <v>1897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1818</v>
      </c>
      <c r="Y19" t="s">
        <v>1819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4"/>
        <v>Opći prihodi i primici</v>
      </c>
      <c r="E20" s="149">
        <v>3225</v>
      </c>
      <c r="F20" s="144" t="str">
        <f t="shared" si="1"/>
        <v>Sitni inventar i auto gume</v>
      </c>
      <c r="G20" s="183" t="s">
        <v>768</v>
      </c>
      <c r="H20" s="144" t="str">
        <f t="shared" si="2"/>
        <v>PROGRAMSKO FINANCIRANJE JAVNIH VISOKIH UČILIŠTA</v>
      </c>
      <c r="I20" s="182">
        <v>10334</v>
      </c>
      <c r="J20" s="182">
        <v>5926.35</v>
      </c>
      <c r="K20" s="182">
        <f t="shared" si="3"/>
        <v>-4407.6499999999996</v>
      </c>
      <c r="M20" s="139" t="str">
        <f t="shared" si="5"/>
        <v>322</v>
      </c>
      <c r="N20" s="139" t="str">
        <f t="shared" si="6"/>
        <v>32</v>
      </c>
      <c r="O20" s="207">
        <v>581</v>
      </c>
      <c r="P20" s="208" t="s">
        <v>1976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2003</v>
      </c>
      <c r="Y20" t="s">
        <v>2004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4"/>
        <v>Opći prihodi i primici</v>
      </c>
      <c r="E21" s="149">
        <v>3227</v>
      </c>
      <c r="F21" s="144" t="str">
        <f t="shared" si="1"/>
        <v>Službena, radna i zaštitna odjeća i obuća</v>
      </c>
      <c r="G21" s="183" t="s">
        <v>768</v>
      </c>
      <c r="H21" s="144" t="str">
        <f t="shared" si="2"/>
        <v>PROGRAMSKO FINANCIRANJE JAVNIH VISOKIH UČILIŠTA</v>
      </c>
      <c r="I21" s="182">
        <v>23328</v>
      </c>
      <c r="J21" s="182">
        <v>17460.45</v>
      </c>
      <c r="K21" s="182">
        <f t="shared" si="3"/>
        <v>-5867.5499999999993</v>
      </c>
      <c r="M21" s="139" t="str">
        <f t="shared" si="5"/>
        <v>322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2005</v>
      </c>
      <c r="Y21" t="s">
        <v>2006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4"/>
        <v>Opći prihodi i primici</v>
      </c>
      <c r="E22" s="149">
        <v>3231</v>
      </c>
      <c r="F22" s="144" t="str">
        <f t="shared" si="1"/>
        <v>Usluge telefona, pošte i prijevoza</v>
      </c>
      <c r="G22" s="183" t="s">
        <v>768</v>
      </c>
      <c r="H22" s="144" t="str">
        <f t="shared" si="2"/>
        <v>PROGRAMSKO FINANCIRANJE JAVNIH VISOKIH UČILIŠTA</v>
      </c>
      <c r="I22" s="182">
        <v>590999</v>
      </c>
      <c r="J22" s="182">
        <v>385049.55999999994</v>
      </c>
      <c r="K22" s="182">
        <f t="shared" si="3"/>
        <v>-205949.44000000006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2007</v>
      </c>
      <c r="Y22" t="s">
        <v>2008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4"/>
        <v>Opći prihodi i primici</v>
      </c>
      <c r="E23" s="149">
        <v>3232</v>
      </c>
      <c r="F23" s="144" t="str">
        <f t="shared" si="1"/>
        <v>Usluge tekućeg i investicijskog održavanja</v>
      </c>
      <c r="G23" s="183" t="s">
        <v>768</v>
      </c>
      <c r="H23" s="144" t="str">
        <f t="shared" si="2"/>
        <v>PROGRAMSKO FINANCIRANJE JAVNIH VISOKIH UČILIŠTA</v>
      </c>
      <c r="I23" s="182">
        <f>1144082-64</f>
        <v>1144018</v>
      </c>
      <c r="J23" s="182">
        <v>863433.23</v>
      </c>
      <c r="K23" s="182">
        <f t="shared" si="3"/>
        <v>-280584.77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2009</v>
      </c>
      <c r="Y23" t="s">
        <v>2010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4"/>
        <v>Opći prihodi i primici</v>
      </c>
      <c r="E24" s="149">
        <v>3233</v>
      </c>
      <c r="F24" s="144" t="str">
        <f t="shared" si="1"/>
        <v>Usluge promidžbe i informiranja</v>
      </c>
      <c r="G24" s="183" t="s">
        <v>768</v>
      </c>
      <c r="H24" s="144" t="str">
        <f t="shared" si="2"/>
        <v>PROGRAMSKO FINANCIRANJE JAVNIH VISOKIH UČILIŠTA</v>
      </c>
      <c r="I24" s="182">
        <v>203796</v>
      </c>
      <c r="J24" s="182">
        <v>231079</v>
      </c>
      <c r="K24" s="182">
        <f t="shared" si="3"/>
        <v>27283</v>
      </c>
      <c r="M24" s="139" t="str">
        <f t="shared" si="5"/>
        <v>323</v>
      </c>
      <c r="N24" s="139" t="str">
        <f t="shared" si="6"/>
        <v>32</v>
      </c>
      <c r="O24" s="239">
        <v>83</v>
      </c>
      <c r="P24" s="239" t="s">
        <v>1349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2011</v>
      </c>
      <c r="Y24" t="s">
        <v>2012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4"/>
        <v>Opći prihodi i primici</v>
      </c>
      <c r="E25" s="149">
        <v>3234</v>
      </c>
      <c r="F25" s="144" t="str">
        <f t="shared" si="1"/>
        <v>Komunalne usluge</v>
      </c>
      <c r="G25" s="183" t="s">
        <v>768</v>
      </c>
      <c r="H25" s="144" t="str">
        <f t="shared" si="2"/>
        <v>PROGRAMSKO FINANCIRANJE JAVNIH VISOKIH UČILIŠTA</v>
      </c>
      <c r="I25" s="182">
        <v>272233</v>
      </c>
      <c r="J25" s="182">
        <v>244049.34000000003</v>
      </c>
      <c r="K25" s="182">
        <f t="shared" si="3"/>
        <v>-28183.659999999974</v>
      </c>
      <c r="M25" s="139" t="str">
        <f t="shared" si="5"/>
        <v>323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2013</v>
      </c>
      <c r="Y25" t="s">
        <v>2014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4"/>
        <v>Opći prihodi i primici</v>
      </c>
      <c r="E26" s="149">
        <v>3235</v>
      </c>
      <c r="F26" s="144" t="str">
        <f t="shared" si="1"/>
        <v>Zakupnine i najamnine</v>
      </c>
      <c r="G26" s="183" t="s">
        <v>768</v>
      </c>
      <c r="H26" s="144" t="str">
        <f t="shared" si="2"/>
        <v>PROGRAMSKO FINANCIRANJE JAVNIH VISOKIH UČILIŠTA</v>
      </c>
      <c r="I26" s="182">
        <v>451630</v>
      </c>
      <c r="J26" s="182">
        <v>672538.49</v>
      </c>
      <c r="K26" s="182">
        <f t="shared" si="3"/>
        <v>220908.49</v>
      </c>
      <c r="M26" s="139" t="str">
        <f t="shared" si="5"/>
        <v>323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2015</v>
      </c>
      <c r="Y26" t="s">
        <v>2016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4"/>
        <v>Opći prihodi i primici</v>
      </c>
      <c r="E27" s="149">
        <v>3236</v>
      </c>
      <c r="F27" s="144" t="str">
        <f t="shared" si="1"/>
        <v>Zdravstvene i veterinarske usluge</v>
      </c>
      <c r="G27" s="183" t="s">
        <v>768</v>
      </c>
      <c r="H27" s="144" t="str">
        <f t="shared" si="2"/>
        <v>PROGRAMSKO FINANCIRANJE JAVNIH VISOKIH UČILIŠTA</v>
      </c>
      <c r="I27" s="182">
        <v>23000</v>
      </c>
      <c r="J27" s="182">
        <v>0</v>
      </c>
      <c r="K27" s="182">
        <f t="shared" si="3"/>
        <v>-23000</v>
      </c>
      <c r="M27" s="139" t="str">
        <f t="shared" si="5"/>
        <v>323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1066</v>
      </c>
      <c r="Y27" t="s">
        <v>1067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4"/>
        <v>Opći prihodi i primici</v>
      </c>
      <c r="E28" s="149">
        <v>3237</v>
      </c>
      <c r="F28" s="144" t="str">
        <f t="shared" si="1"/>
        <v>Intelektualne i osobne usluge</v>
      </c>
      <c r="G28" s="183" t="s">
        <v>768</v>
      </c>
      <c r="H28" s="144" t="str">
        <f t="shared" si="2"/>
        <v>PROGRAMSKO FINANCIRANJE JAVNIH VISOKIH UČILIŠTA</v>
      </c>
      <c r="I28" s="182">
        <v>2000000</v>
      </c>
      <c r="J28" s="182">
        <v>1720666.96</v>
      </c>
      <c r="K28" s="182">
        <f t="shared" si="3"/>
        <v>-279333.04000000004</v>
      </c>
      <c r="M28" s="139" t="str">
        <f t="shared" si="5"/>
        <v>323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2017</v>
      </c>
      <c r="Y28" t="s">
        <v>2018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4"/>
        <v>Opći prihodi i primici</v>
      </c>
      <c r="E29" s="149">
        <v>3238</v>
      </c>
      <c r="F29" s="144" t="str">
        <f t="shared" si="1"/>
        <v>Računalne usluge</v>
      </c>
      <c r="G29" s="183" t="s">
        <v>768</v>
      </c>
      <c r="H29" s="144" t="str">
        <f t="shared" si="2"/>
        <v>PROGRAMSKO FINANCIRANJE JAVNIH VISOKIH UČILIŠTA</v>
      </c>
      <c r="I29" s="182">
        <v>255300</v>
      </c>
      <c r="J29" s="182">
        <v>439503.96</v>
      </c>
      <c r="K29" s="182">
        <f t="shared" si="3"/>
        <v>184203.96000000002</v>
      </c>
      <c r="M29" s="139" t="str">
        <f t="shared" si="5"/>
        <v>323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2019</v>
      </c>
      <c r="Y29" t="s">
        <v>2020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4"/>
        <v>Opći prihodi i primici</v>
      </c>
      <c r="E30" s="149">
        <v>3239</v>
      </c>
      <c r="F30" s="144" t="str">
        <f t="shared" si="1"/>
        <v>Ostale usluge</v>
      </c>
      <c r="G30" s="183" t="s">
        <v>768</v>
      </c>
      <c r="H30" s="144" t="str">
        <f t="shared" si="2"/>
        <v>PROGRAMSKO FINANCIRANJE JAVNIH VISOKIH UČILIŠTA</v>
      </c>
      <c r="I30" s="182">
        <v>1089600</v>
      </c>
      <c r="J30" s="182">
        <v>596658.30000000005</v>
      </c>
      <c r="K30" s="182">
        <f t="shared" si="3"/>
        <v>-492941.69999999995</v>
      </c>
      <c r="M30" s="139" t="str">
        <f t="shared" si="5"/>
        <v>323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2021</v>
      </c>
      <c r="Y30" t="s">
        <v>2022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4"/>
        <v>Opći prihodi i primici</v>
      </c>
      <c r="E31" s="149">
        <v>3241</v>
      </c>
      <c r="F31" s="144" t="str">
        <f t="shared" si="1"/>
        <v>Naknade troškova osobama izvan radnog odnosa</v>
      </c>
      <c r="G31" s="183" t="s">
        <v>768</v>
      </c>
      <c r="H31" s="144" t="str">
        <f t="shared" si="2"/>
        <v>PROGRAMSKO FINANCIRANJE JAVNIH VISOKIH UČILIŠTA</v>
      </c>
      <c r="I31" s="182">
        <v>220400</v>
      </c>
      <c r="J31" s="182">
        <v>163001.72999999998</v>
      </c>
      <c r="K31" s="182">
        <f t="shared" si="3"/>
        <v>-57398.270000000019</v>
      </c>
      <c r="M31" s="139" t="str">
        <f t="shared" si="5"/>
        <v>324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2023</v>
      </c>
      <c r="Y31" t="s">
        <v>2024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4"/>
        <v>Opći prihodi i primici</v>
      </c>
      <c r="E32" s="149">
        <v>3292</v>
      </c>
      <c r="F32" s="144" t="str">
        <f t="shared" si="1"/>
        <v>Premije osiguranja</v>
      </c>
      <c r="G32" s="183" t="s">
        <v>768</v>
      </c>
      <c r="H32" s="144" t="str">
        <f t="shared" si="2"/>
        <v>PROGRAMSKO FINANCIRANJE JAVNIH VISOKIH UČILIŠTA</v>
      </c>
      <c r="I32" s="182">
        <v>310000</v>
      </c>
      <c r="J32" s="182">
        <v>470707.25</v>
      </c>
      <c r="K32" s="182">
        <f t="shared" si="3"/>
        <v>160707.25</v>
      </c>
      <c r="M32" s="139" t="str">
        <f t="shared" si="5"/>
        <v>329</v>
      </c>
      <c r="N32" s="139" t="str">
        <f t="shared" si="6"/>
        <v>32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2025</v>
      </c>
      <c r="Y32" t="s">
        <v>2026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4"/>
        <v>Opći prihodi i primici</v>
      </c>
      <c r="E33" s="149">
        <v>3293</v>
      </c>
      <c r="F33" s="144" t="str">
        <f t="shared" si="1"/>
        <v>Reprezentacija</v>
      </c>
      <c r="G33" s="183" t="s">
        <v>768</v>
      </c>
      <c r="H33" s="144" t="str">
        <f t="shared" si="2"/>
        <v>PROGRAMSKO FINANCIRANJE JAVNIH VISOKIH UČILIŠTA</v>
      </c>
      <c r="I33" s="182">
        <v>10000</v>
      </c>
      <c r="J33" s="182">
        <v>31891.760000000002</v>
      </c>
      <c r="K33" s="182">
        <f t="shared" si="3"/>
        <v>21891.760000000002</v>
      </c>
      <c r="M33" s="139" t="str">
        <f t="shared" si="5"/>
        <v>329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2027</v>
      </c>
      <c r="Y33" t="s">
        <v>2028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11</v>
      </c>
      <c r="D34" s="144" t="str">
        <f t="shared" si="4"/>
        <v>Opći prihodi i primici</v>
      </c>
      <c r="E34" s="149">
        <v>3294</v>
      </c>
      <c r="F34" s="144" t="str">
        <f t="shared" si="1"/>
        <v>Članarine i norme</v>
      </c>
      <c r="G34" s="183" t="s">
        <v>768</v>
      </c>
      <c r="H34" s="144" t="str">
        <f t="shared" si="2"/>
        <v>PROGRAMSKO FINANCIRANJE JAVNIH VISOKIH UČILIŠTA</v>
      </c>
      <c r="I34" s="182">
        <v>69800</v>
      </c>
      <c r="J34" s="182">
        <v>975.43</v>
      </c>
      <c r="K34" s="182">
        <f t="shared" si="3"/>
        <v>-68824.570000000007</v>
      </c>
      <c r="M34" s="139" t="str">
        <f t="shared" si="5"/>
        <v>329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1820</v>
      </c>
      <c r="Y34" t="s">
        <v>1821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11</v>
      </c>
      <c r="D35" s="144" t="str">
        <f t="shared" si="4"/>
        <v>Opći prihodi i primici</v>
      </c>
      <c r="E35" s="149">
        <v>3431</v>
      </c>
      <c r="F35" s="144" t="str">
        <f t="shared" ref="F35:F67" si="9">IFERROR(VLOOKUP(E35,$R$5:$T$144,2,FALSE),"")</f>
        <v>Bankarske usluge i usluge platnog prometa</v>
      </c>
      <c r="G35" s="183" t="s">
        <v>768</v>
      </c>
      <c r="H35" s="144" t="str">
        <f t="shared" si="2"/>
        <v>PROGRAMSKO FINANCIRANJE JAVNIH VISOKIH UČILIŠTA</v>
      </c>
      <c r="I35" s="182">
        <v>97000</v>
      </c>
      <c r="J35" s="182">
        <v>113304.31999999999</v>
      </c>
      <c r="K35" s="182">
        <f t="shared" si="3"/>
        <v>16304.319999999992</v>
      </c>
      <c r="M35" s="139" t="str">
        <f t="shared" si="5"/>
        <v>343</v>
      </c>
      <c r="N35" s="139" t="str">
        <f t="shared" si="6"/>
        <v>34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1822</v>
      </c>
      <c r="Y35" t="s">
        <v>1823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11</v>
      </c>
      <c r="D36" s="144" t="str">
        <f t="shared" si="4"/>
        <v>Opći prihodi i primici</v>
      </c>
      <c r="E36" s="149">
        <v>3434</v>
      </c>
      <c r="F36" s="144" t="str">
        <f t="shared" si="9"/>
        <v>Ostali nespomenuti financijski rashodi</v>
      </c>
      <c r="G36" s="183" t="s">
        <v>768</v>
      </c>
      <c r="H36" s="144" t="str">
        <f t="shared" si="2"/>
        <v>PROGRAMSKO FINANCIRANJE JAVNIH VISOKIH UČILIŠTA</v>
      </c>
      <c r="I36" s="182">
        <v>95000</v>
      </c>
      <c r="J36" s="182">
        <v>250</v>
      </c>
      <c r="K36" s="182">
        <f t="shared" si="3"/>
        <v>-94750</v>
      </c>
      <c r="M36" s="139" t="str">
        <f t="shared" si="5"/>
        <v>343</v>
      </c>
      <c r="N36" s="139" t="str">
        <f t="shared" si="6"/>
        <v>34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2029</v>
      </c>
      <c r="Y36" t="s">
        <v>2030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11</v>
      </c>
      <c r="D37" s="144" t="str">
        <f t="shared" si="4"/>
        <v>Opći prihodi i primici</v>
      </c>
      <c r="E37" s="149">
        <v>3721</v>
      </c>
      <c r="F37" s="144" t="str">
        <f t="shared" si="9"/>
        <v>Naknade građanima i kućanstvima u novcu</v>
      </c>
      <c r="G37" s="183" t="s">
        <v>768</v>
      </c>
      <c r="H37" s="144" t="str">
        <f t="shared" si="2"/>
        <v>PROGRAMSKO FINANCIRANJE JAVNIH VISOKIH UČILIŠTA</v>
      </c>
      <c r="I37" s="182">
        <v>780000</v>
      </c>
      <c r="J37" s="182">
        <v>702000</v>
      </c>
      <c r="K37" s="182">
        <f t="shared" si="3"/>
        <v>-78000</v>
      </c>
      <c r="M37" s="139" t="str">
        <f t="shared" si="5"/>
        <v>372</v>
      </c>
      <c r="N37" s="139" t="str">
        <f t="shared" si="6"/>
        <v>37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2031</v>
      </c>
      <c r="Y37" t="s">
        <v>2032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11</v>
      </c>
      <c r="D38" s="144" t="str">
        <f t="shared" si="4"/>
        <v>Opći prihodi i primici</v>
      </c>
      <c r="E38" s="149">
        <v>4123</v>
      </c>
      <c r="F38" s="144" t="str">
        <f t="shared" si="9"/>
        <v>Licence</v>
      </c>
      <c r="G38" s="183" t="s">
        <v>768</v>
      </c>
      <c r="H38" s="144" t="str">
        <f t="shared" si="2"/>
        <v>PROGRAMSKO FINANCIRANJE JAVNIH VISOKIH UČILIŠTA</v>
      </c>
      <c r="I38" s="182">
        <v>120000</v>
      </c>
      <c r="J38" s="182">
        <v>59367.69</v>
      </c>
      <c r="K38" s="182">
        <f t="shared" si="3"/>
        <v>-60632.31</v>
      </c>
      <c r="M38" s="139" t="str">
        <f t="shared" si="5"/>
        <v>412</v>
      </c>
      <c r="N38" s="139" t="str">
        <f t="shared" si="6"/>
        <v>41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2033</v>
      </c>
      <c r="Y38" t="s">
        <v>2034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11</v>
      </c>
      <c r="D39" s="144" t="str">
        <f t="shared" si="4"/>
        <v>Opći prihodi i primici</v>
      </c>
      <c r="E39" s="149">
        <v>4221</v>
      </c>
      <c r="F39" s="144" t="str">
        <f t="shared" si="9"/>
        <v>Uredska oprema i namještaj</v>
      </c>
      <c r="G39" s="183" t="s">
        <v>768</v>
      </c>
      <c r="H39" s="144" t="str">
        <f t="shared" si="2"/>
        <v>PROGRAMSKO FINANCIRANJE JAVNIH VISOKIH UČILIŠTA</v>
      </c>
      <c r="I39" s="182">
        <v>850000</v>
      </c>
      <c r="J39" s="182">
        <v>890178.71000000008</v>
      </c>
      <c r="K39" s="182">
        <f t="shared" si="3"/>
        <v>40178.710000000079</v>
      </c>
      <c r="M39" s="139" t="str">
        <f t="shared" si="5"/>
        <v>422</v>
      </c>
      <c r="N39" s="139" t="str">
        <f t="shared" si="6"/>
        <v>42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2035</v>
      </c>
      <c r="Y39" t="s">
        <v>2036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11</v>
      </c>
      <c r="D40" s="144" t="str">
        <f t="shared" si="4"/>
        <v>Opći prihodi i primici</v>
      </c>
      <c r="E40" s="149">
        <v>4222</v>
      </c>
      <c r="F40" s="144" t="str">
        <f t="shared" si="9"/>
        <v>Komunikacijska oprema</v>
      </c>
      <c r="G40" s="183" t="s">
        <v>768</v>
      </c>
      <c r="H40" s="144" t="str">
        <f t="shared" si="2"/>
        <v>PROGRAMSKO FINANCIRANJE JAVNIH VISOKIH UČILIŠTA</v>
      </c>
      <c r="I40" s="182">
        <v>0</v>
      </c>
      <c r="J40" s="182">
        <v>23477.13</v>
      </c>
      <c r="K40" s="182">
        <f t="shared" si="3"/>
        <v>23477.13</v>
      </c>
      <c r="M40" s="139" t="str">
        <f t="shared" si="5"/>
        <v>422</v>
      </c>
      <c r="N40" s="139" t="str">
        <f t="shared" si="6"/>
        <v>42</v>
      </c>
      <c r="X40"/>
      <c r="Y40"/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11</v>
      </c>
      <c r="D41" s="144" t="str">
        <f t="shared" si="4"/>
        <v>Opći prihodi i primici</v>
      </c>
      <c r="E41" s="149">
        <v>4223</v>
      </c>
      <c r="F41" s="144" t="str">
        <f t="shared" si="9"/>
        <v>Oprema za održavanje i zaštitu</v>
      </c>
      <c r="G41" s="183" t="s">
        <v>768</v>
      </c>
      <c r="H41" s="144" t="str">
        <f t="shared" si="2"/>
        <v>PROGRAMSKO FINANCIRANJE JAVNIH VISOKIH UČILIŠTA</v>
      </c>
      <c r="I41" s="182">
        <v>195000</v>
      </c>
      <c r="J41" s="182">
        <v>105659.5</v>
      </c>
      <c r="K41" s="182">
        <f t="shared" si="3"/>
        <v>-89340.5</v>
      </c>
      <c r="M41" s="139" t="str">
        <f t="shared" si="5"/>
        <v>422</v>
      </c>
      <c r="N41" s="139" t="str">
        <f t="shared" si="6"/>
        <v>42</v>
      </c>
      <c r="R41" s="139">
        <v>3411</v>
      </c>
      <c r="S41" s="139" t="s">
        <v>190</v>
      </c>
      <c r="U41" s="139" t="str">
        <f t="shared" si="7"/>
        <v>34</v>
      </c>
      <c r="V41" s="139" t="str">
        <f t="shared" si="8"/>
        <v>341</v>
      </c>
      <c r="X41" t="s">
        <v>2037</v>
      </c>
      <c r="Y41" t="s">
        <v>1051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11</v>
      </c>
      <c r="D42" s="144" t="str">
        <f t="shared" si="4"/>
        <v>Opći prihodi i primici</v>
      </c>
      <c r="E42" s="149">
        <v>4227</v>
      </c>
      <c r="F42" s="144" t="str">
        <f t="shared" si="9"/>
        <v>Uređaji, strojevi i oprema za ostale namjene</v>
      </c>
      <c r="G42" s="183" t="s">
        <v>768</v>
      </c>
      <c r="H42" s="144" t="str">
        <f t="shared" si="2"/>
        <v>PROGRAMSKO FINANCIRANJE JAVNIH VISOKIH UČILIŠTA</v>
      </c>
      <c r="I42" s="182">
        <v>155500</v>
      </c>
      <c r="J42" s="182">
        <v>57804.69</v>
      </c>
      <c r="K42" s="182">
        <f t="shared" si="3"/>
        <v>-97695.31</v>
      </c>
      <c r="M42" s="139" t="str">
        <f t="shared" si="5"/>
        <v>422</v>
      </c>
      <c r="N42" s="139" t="str">
        <f t="shared" si="6"/>
        <v>42</v>
      </c>
      <c r="R42" s="139">
        <v>3422</v>
      </c>
      <c r="S42" s="139" t="s">
        <v>153</v>
      </c>
      <c r="U42" s="139" t="str">
        <f t="shared" si="7"/>
        <v>34</v>
      </c>
      <c r="V42" s="139" t="str">
        <f t="shared" si="8"/>
        <v>342</v>
      </c>
      <c r="X42" t="s">
        <v>1824</v>
      </c>
      <c r="Y42" t="s">
        <v>1825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11</v>
      </c>
      <c r="D43" s="144" t="str">
        <f t="shared" si="4"/>
        <v>Opći prihodi i primici</v>
      </c>
      <c r="E43" s="149">
        <v>4241</v>
      </c>
      <c r="F43" s="144" t="str">
        <f t="shared" si="9"/>
        <v>Knjige</v>
      </c>
      <c r="G43" s="183" t="s">
        <v>768</v>
      </c>
      <c r="H43" s="144" t="str">
        <f t="shared" si="2"/>
        <v>PROGRAMSKO FINANCIRANJE JAVNIH VISOKIH UČILIŠTA</v>
      </c>
      <c r="I43" s="182">
        <v>328500</v>
      </c>
      <c r="J43" s="182">
        <v>17417.86</v>
      </c>
      <c r="K43" s="182">
        <f t="shared" si="3"/>
        <v>-311082.14</v>
      </c>
      <c r="M43" s="139" t="str">
        <f t="shared" si="5"/>
        <v>424</v>
      </c>
      <c r="N43" s="139" t="str">
        <f t="shared" si="6"/>
        <v>42</v>
      </c>
      <c r="R43" s="139">
        <v>3423</v>
      </c>
      <c r="S43" s="139" t="s">
        <v>153</v>
      </c>
      <c r="U43" s="139" t="str">
        <f t="shared" ref="U43:U76" si="10">LEFT(R43,2)</f>
        <v>34</v>
      </c>
      <c r="V43" s="139" t="str">
        <f t="shared" ref="V43:V76" si="11">LEFT(R43,3)</f>
        <v>342</v>
      </c>
      <c r="X43" t="s">
        <v>2038</v>
      </c>
      <c r="Y43" t="s">
        <v>2039</v>
      </c>
    </row>
    <row r="44" spans="1:25">
      <c r="A44" s="143" t="str">
        <f>IF(C44="","",VLOOKUP('Opći dio'!$C$3,'Opći dio'!$L$6:$U$137,10,FALSE))</f>
        <v/>
      </c>
      <c r="B44" s="143" t="str">
        <f>IF(C44="","",VLOOKUP('Opći dio'!$C$3,'Opći dio'!$L$6:$U$137,9,FALSE))</f>
        <v/>
      </c>
      <c r="C44" s="149"/>
      <c r="D44" s="144" t="str">
        <f t="shared" si="4"/>
        <v/>
      </c>
      <c r="E44" s="149"/>
      <c r="F44" s="144" t="str">
        <f t="shared" si="9"/>
        <v/>
      </c>
      <c r="G44" s="183"/>
      <c r="H44" s="144" t="str">
        <f t="shared" si="2"/>
        <v/>
      </c>
      <c r="I44" s="182"/>
      <c r="J44" s="182"/>
      <c r="K44" s="182"/>
      <c r="M44" s="139" t="str">
        <f t="shared" si="5"/>
        <v/>
      </c>
      <c r="N44" s="139" t="str">
        <f t="shared" si="6"/>
        <v/>
      </c>
      <c r="R44" s="139">
        <v>3427</v>
      </c>
      <c r="S44" s="139" t="s">
        <v>192</v>
      </c>
      <c r="U44" s="139" t="str">
        <f t="shared" si="10"/>
        <v>34</v>
      </c>
      <c r="V44" s="139" t="str">
        <f t="shared" si="11"/>
        <v>342</v>
      </c>
      <c r="X44" t="s">
        <v>2040</v>
      </c>
      <c r="Y44" t="s">
        <v>2041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11</v>
      </c>
      <c r="D45" s="144" t="str">
        <f t="shared" si="4"/>
        <v>Opći prihodi i primici</v>
      </c>
      <c r="E45" s="149">
        <v>3237</v>
      </c>
      <c r="F45" s="144" t="str">
        <f t="shared" si="9"/>
        <v>Intelektualne i osobne usluge</v>
      </c>
      <c r="G45" s="183" t="s">
        <v>770</v>
      </c>
      <c r="H45" s="144" t="str">
        <f t="shared" si="2"/>
        <v>PROGRAMI VJEŽBAONICA VISOKIH UČILIŠTA</v>
      </c>
      <c r="I45" s="182">
        <v>491101.61557514308</v>
      </c>
      <c r="J45" s="182">
        <v>695713</v>
      </c>
      <c r="K45" s="182">
        <f t="shared" si="3"/>
        <v>204611.38442485692</v>
      </c>
      <c r="M45" s="139" t="str">
        <f t="shared" si="5"/>
        <v>323</v>
      </c>
      <c r="N45" s="139" t="str">
        <f t="shared" si="6"/>
        <v>32</v>
      </c>
      <c r="R45" s="139">
        <v>3431</v>
      </c>
      <c r="S45" s="139" t="s">
        <v>86</v>
      </c>
      <c r="U45" s="139" t="str">
        <f t="shared" si="10"/>
        <v>34</v>
      </c>
      <c r="V45" s="139" t="str">
        <f t="shared" si="11"/>
        <v>343</v>
      </c>
      <c r="X45" t="s">
        <v>2042</v>
      </c>
      <c r="Y45" t="s">
        <v>2043</v>
      </c>
    </row>
    <row r="46" spans="1:25">
      <c r="A46" s="143" t="str">
        <f>IF(C46="","",VLOOKUP('Opći dio'!$C$3,'Opći dio'!$L$6:$U$137,10,FALSE))</f>
        <v/>
      </c>
      <c r="B46" s="143" t="str">
        <f>IF(C46="","",VLOOKUP('Opći dio'!$C$3,'Opći dio'!$L$6:$U$137,9,FALSE))</f>
        <v/>
      </c>
      <c r="C46" s="149"/>
      <c r="D46" s="144" t="str">
        <f t="shared" si="4"/>
        <v/>
      </c>
      <c r="E46" s="149"/>
      <c r="F46" s="144" t="str">
        <f t="shared" si="9"/>
        <v/>
      </c>
      <c r="G46" s="183"/>
      <c r="H46" s="144" t="str">
        <f t="shared" si="2"/>
        <v/>
      </c>
      <c r="I46" s="182"/>
      <c r="J46" s="182"/>
      <c r="K46" s="182"/>
      <c r="M46" s="139" t="str">
        <f t="shared" si="5"/>
        <v/>
      </c>
      <c r="N46" s="139" t="str">
        <f t="shared" si="6"/>
        <v/>
      </c>
      <c r="R46" s="139">
        <v>3432</v>
      </c>
      <c r="S46" s="139" t="s">
        <v>102</v>
      </c>
      <c r="U46" s="139" t="str">
        <f t="shared" si="10"/>
        <v>34</v>
      </c>
      <c r="V46" s="139" t="str">
        <f t="shared" si="11"/>
        <v>343</v>
      </c>
      <c r="X46" t="s">
        <v>2044</v>
      </c>
      <c r="Y46" t="s">
        <v>1051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31</v>
      </c>
      <c r="D47" s="144" t="str">
        <f t="shared" si="4"/>
        <v>Vlastiti prihodi</v>
      </c>
      <c r="E47" s="149">
        <v>3111</v>
      </c>
      <c r="F47" s="144" t="str">
        <f t="shared" si="9"/>
        <v>Plaće za redovan rad</v>
      </c>
      <c r="G47" s="183" t="s">
        <v>188</v>
      </c>
      <c r="H47" s="144" t="s">
        <v>1381</v>
      </c>
      <c r="I47" s="182">
        <v>1101800</v>
      </c>
      <c r="J47" s="182">
        <v>1101800</v>
      </c>
      <c r="K47" s="182">
        <f t="shared" si="3"/>
        <v>0</v>
      </c>
      <c r="M47" s="139" t="str">
        <f t="shared" si="5"/>
        <v>311</v>
      </c>
      <c r="N47" s="139" t="str">
        <f t="shared" si="6"/>
        <v>31</v>
      </c>
      <c r="R47" s="139">
        <v>3433</v>
      </c>
      <c r="S47" s="139" t="s">
        <v>140</v>
      </c>
      <c r="U47" s="139" t="str">
        <f t="shared" si="10"/>
        <v>34</v>
      </c>
      <c r="V47" s="139" t="str">
        <f t="shared" si="11"/>
        <v>343</v>
      </c>
      <c r="X47" t="s">
        <v>1826</v>
      </c>
      <c r="Y47" t="s">
        <v>1252</v>
      </c>
    </row>
    <row r="48" spans="1:25">
      <c r="A48" s="143">
        <v>8006</v>
      </c>
      <c r="B48" s="143" t="s">
        <v>49</v>
      </c>
      <c r="C48" s="149">
        <v>31</v>
      </c>
      <c r="D48" s="144" t="str">
        <f t="shared" si="4"/>
        <v>Vlastiti prihodi</v>
      </c>
      <c r="E48" s="149">
        <v>3112</v>
      </c>
      <c r="F48" s="144" t="str">
        <f t="shared" si="9"/>
        <v>Plaće u naravi</v>
      </c>
      <c r="G48" s="183" t="s">
        <v>188</v>
      </c>
      <c r="H48" s="144" t="s">
        <v>1381</v>
      </c>
      <c r="I48" s="182">
        <v>0</v>
      </c>
      <c r="J48" s="182">
        <v>3222</v>
      </c>
      <c r="K48" s="182">
        <f t="shared" si="3"/>
        <v>3222</v>
      </c>
      <c r="M48" s="139" t="str">
        <f t="shared" si="5"/>
        <v>311</v>
      </c>
      <c r="N48" s="139" t="str">
        <f t="shared" si="6"/>
        <v>31</v>
      </c>
      <c r="X48"/>
      <c r="Y48"/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31</v>
      </c>
      <c r="D49" s="144" t="str">
        <f t="shared" si="4"/>
        <v>Vlastiti prihodi</v>
      </c>
      <c r="E49" s="149">
        <v>3113</v>
      </c>
      <c r="F49" s="144" t="str">
        <f t="shared" si="9"/>
        <v>Plaće za prekovremeni rad</v>
      </c>
      <c r="G49" s="183" t="s">
        <v>188</v>
      </c>
      <c r="H49" s="144" t="s">
        <v>1381</v>
      </c>
      <c r="I49" s="182">
        <v>930000</v>
      </c>
      <c r="J49" s="182">
        <v>930000</v>
      </c>
      <c r="K49" s="182">
        <f t="shared" si="3"/>
        <v>0</v>
      </c>
      <c r="M49" s="139" t="str">
        <f t="shared" si="5"/>
        <v>311</v>
      </c>
      <c r="N49" s="139" t="str">
        <f t="shared" si="6"/>
        <v>31</v>
      </c>
      <c r="R49" s="139">
        <v>3434</v>
      </c>
      <c r="S49" s="139" t="s">
        <v>71</v>
      </c>
      <c r="U49" s="139" t="str">
        <f t="shared" si="10"/>
        <v>34</v>
      </c>
      <c r="V49" s="139" t="str">
        <f t="shared" si="11"/>
        <v>343</v>
      </c>
      <c r="X49" t="s">
        <v>2045</v>
      </c>
      <c r="Y49" t="s">
        <v>2046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31</v>
      </c>
      <c r="D50" s="144" t="str">
        <f t="shared" si="4"/>
        <v>Vlastiti prihodi</v>
      </c>
      <c r="E50" s="149">
        <v>3121</v>
      </c>
      <c r="F50" s="144" t="str">
        <f t="shared" si="9"/>
        <v>Ostali rashodi za zaposlene</v>
      </c>
      <c r="G50" s="183" t="s">
        <v>188</v>
      </c>
      <c r="H50" s="144" t="s">
        <v>1381</v>
      </c>
      <c r="I50" s="182">
        <v>20000</v>
      </c>
      <c r="J50" s="182">
        <v>20000</v>
      </c>
      <c r="K50" s="182">
        <f t="shared" si="3"/>
        <v>0</v>
      </c>
      <c r="M50" s="139" t="str">
        <f t="shared" si="5"/>
        <v>312</v>
      </c>
      <c r="N50" s="139" t="str">
        <f t="shared" si="6"/>
        <v>31</v>
      </c>
      <c r="R50" s="139">
        <v>3511</v>
      </c>
      <c r="S50" s="139" t="s">
        <v>183</v>
      </c>
      <c r="U50" s="139" t="str">
        <f t="shared" si="10"/>
        <v>35</v>
      </c>
      <c r="V50" s="139" t="str">
        <f t="shared" si="11"/>
        <v>351</v>
      </c>
      <c r="X50" t="s">
        <v>1827</v>
      </c>
      <c r="Y50" t="s">
        <v>1828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31</v>
      </c>
      <c r="D51" s="144" t="str">
        <f t="shared" si="4"/>
        <v>Vlastiti prihodi</v>
      </c>
      <c r="E51" s="149">
        <v>3132</v>
      </c>
      <c r="F51" s="144" t="str">
        <f t="shared" si="9"/>
        <v>Doprinosi za obvezno zdravstveno osiguranje</v>
      </c>
      <c r="G51" s="183" t="s">
        <v>188</v>
      </c>
      <c r="H51" s="144" t="s">
        <v>1381</v>
      </c>
      <c r="I51" s="182">
        <v>331650</v>
      </c>
      <c r="J51" s="182">
        <v>331650</v>
      </c>
      <c r="K51" s="182">
        <f t="shared" si="3"/>
        <v>0</v>
      </c>
      <c r="M51" s="139" t="str">
        <f t="shared" si="5"/>
        <v>313</v>
      </c>
      <c r="N51" s="139" t="str">
        <f t="shared" si="6"/>
        <v>31</v>
      </c>
      <c r="R51" s="139">
        <v>3512</v>
      </c>
      <c r="S51" s="139" t="s">
        <v>185</v>
      </c>
      <c r="U51" s="139" t="str">
        <f t="shared" si="10"/>
        <v>35</v>
      </c>
      <c r="V51" s="139" t="str">
        <f t="shared" si="11"/>
        <v>351</v>
      </c>
      <c r="X51" t="s">
        <v>2047</v>
      </c>
      <c r="Y51" t="s">
        <v>2048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31</v>
      </c>
      <c r="D52" s="144" t="str">
        <f t="shared" si="4"/>
        <v>Vlastiti prihodi</v>
      </c>
      <c r="E52" s="149">
        <v>3211</v>
      </c>
      <c r="F52" s="144" t="str">
        <f t="shared" si="9"/>
        <v>Službena putovanja</v>
      </c>
      <c r="G52" s="183" t="s">
        <v>188</v>
      </c>
      <c r="H52" s="144" t="s">
        <v>1381</v>
      </c>
      <c r="I52" s="182">
        <v>500000</v>
      </c>
      <c r="J52" s="182">
        <v>479000</v>
      </c>
      <c r="K52" s="182">
        <f t="shared" si="3"/>
        <v>-21000</v>
      </c>
      <c r="M52" s="139" t="str">
        <f t="shared" si="5"/>
        <v>321</v>
      </c>
      <c r="N52" s="139" t="str">
        <f t="shared" si="6"/>
        <v>32</v>
      </c>
      <c r="R52" s="139">
        <v>3522</v>
      </c>
      <c r="S52" s="139" t="s">
        <v>259</v>
      </c>
      <c r="U52" s="139" t="str">
        <f t="shared" si="10"/>
        <v>35</v>
      </c>
      <c r="V52" s="139" t="str">
        <f t="shared" si="11"/>
        <v>352</v>
      </c>
      <c r="X52" t="s">
        <v>2049</v>
      </c>
      <c r="Y52" t="s">
        <v>2050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31</v>
      </c>
      <c r="D53" s="144" t="str">
        <f t="shared" si="4"/>
        <v>Vlastiti prihodi</v>
      </c>
      <c r="E53" s="149">
        <v>3212</v>
      </c>
      <c r="F53" s="144" t="str">
        <f t="shared" si="9"/>
        <v>Naknade za prijevoz, za rad na terenu i odvojeni život</v>
      </c>
      <c r="G53" s="183" t="s">
        <v>188</v>
      </c>
      <c r="H53" s="144" t="s">
        <v>1381</v>
      </c>
      <c r="I53" s="182">
        <v>60000</v>
      </c>
      <c r="J53" s="182">
        <v>60000</v>
      </c>
      <c r="K53" s="182">
        <f t="shared" si="3"/>
        <v>0</v>
      </c>
      <c r="M53" s="139" t="str">
        <f t="shared" si="5"/>
        <v>321</v>
      </c>
      <c r="N53" s="139" t="str">
        <f t="shared" si="6"/>
        <v>32</v>
      </c>
      <c r="R53" s="139">
        <v>3531</v>
      </c>
      <c r="S53" s="139" t="s">
        <v>137</v>
      </c>
      <c r="U53" s="139" t="str">
        <f t="shared" si="10"/>
        <v>35</v>
      </c>
      <c r="V53" s="139" t="str">
        <f t="shared" si="11"/>
        <v>353</v>
      </c>
      <c r="X53" t="s">
        <v>2051</v>
      </c>
      <c r="Y53" t="s">
        <v>2052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31</v>
      </c>
      <c r="D54" s="144" t="str">
        <f t="shared" si="4"/>
        <v>Vlastiti prihodi</v>
      </c>
      <c r="E54" s="149">
        <v>3213</v>
      </c>
      <c r="F54" s="144" t="str">
        <f t="shared" si="9"/>
        <v>Stručno usavršavanje zaposlenika</v>
      </c>
      <c r="G54" s="183" t="s">
        <v>188</v>
      </c>
      <c r="H54" s="144" t="s">
        <v>1381</v>
      </c>
      <c r="I54" s="182">
        <v>30000</v>
      </c>
      <c r="J54" s="182">
        <v>73550</v>
      </c>
      <c r="K54" s="182">
        <f t="shared" si="3"/>
        <v>43550</v>
      </c>
      <c r="M54" s="139" t="str">
        <f t="shared" si="5"/>
        <v>321</v>
      </c>
      <c r="N54" s="139" t="str">
        <f t="shared" si="6"/>
        <v>32</v>
      </c>
      <c r="R54" s="139">
        <v>3611</v>
      </c>
      <c r="S54" s="139" t="s">
        <v>91</v>
      </c>
      <c r="U54" s="139" t="str">
        <f t="shared" si="10"/>
        <v>36</v>
      </c>
      <c r="V54" s="139" t="str">
        <f t="shared" si="11"/>
        <v>361</v>
      </c>
      <c r="X54" t="s">
        <v>2053</v>
      </c>
      <c r="Y54" t="s">
        <v>2054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31</v>
      </c>
      <c r="D55" s="144" t="str">
        <f t="shared" si="4"/>
        <v>Vlastiti prihodi</v>
      </c>
      <c r="E55" s="149">
        <v>3214</v>
      </c>
      <c r="F55" s="144" t="str">
        <f t="shared" si="9"/>
        <v>Ostale naknade troškova zaposlenima</v>
      </c>
      <c r="G55" s="183" t="s">
        <v>188</v>
      </c>
      <c r="H55" s="144" t="s">
        <v>1381</v>
      </c>
      <c r="I55" s="182">
        <v>10000</v>
      </c>
      <c r="J55" s="182">
        <v>10000</v>
      </c>
      <c r="K55" s="182">
        <f t="shared" si="3"/>
        <v>0</v>
      </c>
      <c r="M55" s="139" t="str">
        <f t="shared" si="5"/>
        <v>321</v>
      </c>
      <c r="N55" s="139" t="str">
        <f t="shared" si="6"/>
        <v>32</v>
      </c>
      <c r="R55" s="139">
        <v>3621</v>
      </c>
      <c r="S55" s="139" t="s">
        <v>141</v>
      </c>
      <c r="U55" s="139" t="str">
        <f t="shared" si="10"/>
        <v>36</v>
      </c>
      <c r="V55" s="139" t="str">
        <f t="shared" si="11"/>
        <v>362</v>
      </c>
      <c r="X55" t="s">
        <v>2055</v>
      </c>
      <c r="Y55" t="s">
        <v>2056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31</v>
      </c>
      <c r="D56" s="144" t="str">
        <f t="shared" si="4"/>
        <v>Vlastiti prihodi</v>
      </c>
      <c r="E56" s="149">
        <v>3221</v>
      </c>
      <c r="F56" s="144" t="str">
        <f t="shared" si="9"/>
        <v>Uredski materijal i ostali materijalni rashodi</v>
      </c>
      <c r="G56" s="183" t="s">
        <v>188</v>
      </c>
      <c r="H56" s="144" t="s">
        <v>1381</v>
      </c>
      <c r="I56" s="182">
        <v>234150</v>
      </c>
      <c r="J56" s="182">
        <v>234150</v>
      </c>
      <c r="K56" s="182">
        <f t="shared" si="3"/>
        <v>0</v>
      </c>
      <c r="M56" s="139" t="str">
        <f t="shared" si="5"/>
        <v>322</v>
      </c>
      <c r="N56" s="139" t="str">
        <f t="shared" si="6"/>
        <v>32</v>
      </c>
      <c r="R56" s="139">
        <v>3631</v>
      </c>
      <c r="S56" s="139" t="s">
        <v>182</v>
      </c>
      <c r="U56" s="139" t="str">
        <f t="shared" si="10"/>
        <v>36</v>
      </c>
      <c r="V56" s="139" t="str">
        <f t="shared" si="11"/>
        <v>363</v>
      </c>
      <c r="X56" t="s">
        <v>2057</v>
      </c>
      <c r="Y56" t="s">
        <v>2058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31</v>
      </c>
      <c r="D57" s="144" t="str">
        <f t="shared" si="4"/>
        <v>Vlastiti prihodi</v>
      </c>
      <c r="E57" s="149">
        <v>3222</v>
      </c>
      <c r="F57" s="144" t="str">
        <f t="shared" si="9"/>
        <v>Materijal i sirovine</v>
      </c>
      <c r="G57" s="183" t="s">
        <v>188</v>
      </c>
      <c r="H57" s="144" t="s">
        <v>1381</v>
      </c>
      <c r="I57" s="182">
        <v>180000</v>
      </c>
      <c r="J57" s="182">
        <v>200850</v>
      </c>
      <c r="K57" s="182">
        <f t="shared" si="3"/>
        <v>20850</v>
      </c>
      <c r="M57" s="139" t="str">
        <f t="shared" si="5"/>
        <v>322</v>
      </c>
      <c r="N57" s="139" t="str">
        <f t="shared" si="6"/>
        <v>32</v>
      </c>
      <c r="R57" s="139">
        <v>3632</v>
      </c>
      <c r="S57" s="139" t="s">
        <v>260</v>
      </c>
      <c r="U57" s="139" t="str">
        <f t="shared" si="10"/>
        <v>36</v>
      </c>
      <c r="V57" s="139" t="str">
        <f t="shared" si="11"/>
        <v>363</v>
      </c>
      <c r="X57" t="s">
        <v>2059</v>
      </c>
      <c r="Y57" t="s">
        <v>2060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31</v>
      </c>
      <c r="D58" s="144" t="str">
        <f t="shared" si="4"/>
        <v>Vlastiti prihodi</v>
      </c>
      <c r="E58" s="149">
        <v>3223</v>
      </c>
      <c r="F58" s="144" t="str">
        <f t="shared" si="9"/>
        <v>Energija</v>
      </c>
      <c r="G58" s="183" t="s">
        <v>188</v>
      </c>
      <c r="H58" s="144" t="s">
        <v>1381</v>
      </c>
      <c r="I58" s="182">
        <v>930000</v>
      </c>
      <c r="J58" s="182">
        <v>930000</v>
      </c>
      <c r="K58" s="182">
        <f t="shared" si="3"/>
        <v>0</v>
      </c>
      <c r="M58" s="139" t="str">
        <f t="shared" si="5"/>
        <v>322</v>
      </c>
      <c r="N58" s="139" t="str">
        <f t="shared" si="6"/>
        <v>32</v>
      </c>
      <c r="R58" s="139">
        <v>3661</v>
      </c>
      <c r="S58" s="139" t="s">
        <v>103</v>
      </c>
      <c r="U58" s="139" t="str">
        <f t="shared" si="10"/>
        <v>36</v>
      </c>
      <c r="V58" s="139" t="str">
        <f t="shared" si="11"/>
        <v>366</v>
      </c>
      <c r="X58" t="s">
        <v>2061</v>
      </c>
      <c r="Y58" t="s">
        <v>2062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31</v>
      </c>
      <c r="D59" s="144" t="str">
        <f t="shared" si="4"/>
        <v>Vlastiti prihodi</v>
      </c>
      <c r="E59" s="149">
        <v>3224</v>
      </c>
      <c r="F59" s="144" t="str">
        <f t="shared" si="9"/>
        <v>Materijal i dijelovi za tekuće i investicijsko održavanje</v>
      </c>
      <c r="G59" s="183" t="s">
        <v>188</v>
      </c>
      <c r="H59" s="144" t="s">
        <v>1381</v>
      </c>
      <c r="I59" s="182">
        <v>30000</v>
      </c>
      <c r="J59" s="182">
        <v>30000</v>
      </c>
      <c r="K59" s="182">
        <f t="shared" si="3"/>
        <v>0</v>
      </c>
      <c r="M59" s="139" t="str">
        <f t="shared" si="5"/>
        <v>322</v>
      </c>
      <c r="N59" s="139" t="str">
        <f t="shared" si="6"/>
        <v>32</v>
      </c>
      <c r="R59" s="139">
        <v>3662</v>
      </c>
      <c r="S59" s="139" t="s">
        <v>186</v>
      </c>
      <c r="U59" s="139" t="str">
        <f t="shared" si="10"/>
        <v>36</v>
      </c>
      <c r="V59" s="139" t="str">
        <f t="shared" si="11"/>
        <v>366</v>
      </c>
      <c r="X59" t="s">
        <v>2063</v>
      </c>
      <c r="Y59" t="s">
        <v>2064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31</v>
      </c>
      <c r="D60" s="144" t="str">
        <f t="shared" si="4"/>
        <v>Vlastiti prihodi</v>
      </c>
      <c r="E60" s="149">
        <v>3225</v>
      </c>
      <c r="F60" s="144" t="str">
        <f t="shared" si="9"/>
        <v>Sitni inventar i auto gume</v>
      </c>
      <c r="G60" s="183" t="s">
        <v>188</v>
      </c>
      <c r="H60" s="144" t="s">
        <v>1381</v>
      </c>
      <c r="I60" s="182">
        <v>5000</v>
      </c>
      <c r="J60" s="182">
        <v>20750</v>
      </c>
      <c r="K60" s="182">
        <f t="shared" si="3"/>
        <v>15750</v>
      </c>
      <c r="M60" s="139" t="str">
        <f t="shared" si="5"/>
        <v>322</v>
      </c>
      <c r="N60" s="139" t="str">
        <f t="shared" si="6"/>
        <v>32</v>
      </c>
      <c r="R60" s="139">
        <v>3681</v>
      </c>
      <c r="S60" s="139" t="s">
        <v>29</v>
      </c>
      <c r="U60" s="139" t="str">
        <f t="shared" si="10"/>
        <v>36</v>
      </c>
      <c r="V60" s="139" t="str">
        <f t="shared" si="11"/>
        <v>368</v>
      </c>
      <c r="X60" t="s">
        <v>2065</v>
      </c>
      <c r="Y60" t="s">
        <v>2066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31</v>
      </c>
      <c r="D61" s="144" t="str">
        <f t="shared" si="4"/>
        <v>Vlastiti prihodi</v>
      </c>
      <c r="E61" s="149">
        <v>3227</v>
      </c>
      <c r="F61" s="144" t="str">
        <f t="shared" si="9"/>
        <v>Službena, radna i zaštitna odjeća i obuća</v>
      </c>
      <c r="G61" s="183" t="s">
        <v>188</v>
      </c>
      <c r="H61" s="144" t="s">
        <v>1381</v>
      </c>
      <c r="I61" s="182">
        <v>10000</v>
      </c>
      <c r="J61" s="182">
        <v>10000</v>
      </c>
      <c r="K61" s="182">
        <f t="shared" si="3"/>
        <v>0</v>
      </c>
      <c r="M61" s="139" t="str">
        <f t="shared" si="5"/>
        <v>322</v>
      </c>
      <c r="N61" s="139" t="str">
        <f t="shared" si="6"/>
        <v>32</v>
      </c>
      <c r="R61" s="139">
        <v>3682</v>
      </c>
      <c r="S61" s="139" t="s">
        <v>30</v>
      </c>
      <c r="U61" s="139" t="str">
        <f t="shared" si="10"/>
        <v>36</v>
      </c>
      <c r="V61" s="139" t="str">
        <f t="shared" si="11"/>
        <v>368</v>
      </c>
      <c r="X61" t="s">
        <v>2067</v>
      </c>
      <c r="Y61" t="s">
        <v>2068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31</v>
      </c>
      <c r="D62" s="144" t="str">
        <f t="shared" si="4"/>
        <v>Vlastiti prihodi</v>
      </c>
      <c r="E62" s="149">
        <v>3231</v>
      </c>
      <c r="F62" s="144" t="str">
        <f t="shared" si="9"/>
        <v>Usluge telefona, pošte i prijevoza</v>
      </c>
      <c r="G62" s="183" t="s">
        <v>188</v>
      </c>
      <c r="H62" s="144" t="s">
        <v>1381</v>
      </c>
      <c r="I62" s="182">
        <v>49231</v>
      </c>
      <c r="J62" s="182">
        <v>90231</v>
      </c>
      <c r="K62" s="182">
        <f t="shared" si="3"/>
        <v>41000</v>
      </c>
      <c r="M62" s="139" t="str">
        <f t="shared" si="5"/>
        <v>323</v>
      </c>
      <c r="N62" s="139" t="str">
        <f t="shared" si="6"/>
        <v>32</v>
      </c>
      <c r="R62" s="139">
        <v>3691</v>
      </c>
      <c r="S62" s="139" t="s">
        <v>108</v>
      </c>
      <c r="U62" s="139" t="str">
        <f t="shared" si="10"/>
        <v>36</v>
      </c>
      <c r="V62" s="139" t="str">
        <f t="shared" si="11"/>
        <v>369</v>
      </c>
      <c r="X62" t="s">
        <v>2069</v>
      </c>
      <c r="Y62" t="s">
        <v>2070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31</v>
      </c>
      <c r="D63" s="144" t="str">
        <f t="shared" si="4"/>
        <v>Vlastiti prihodi</v>
      </c>
      <c r="E63" s="149">
        <v>3232</v>
      </c>
      <c r="F63" s="144" t="str">
        <f t="shared" si="9"/>
        <v>Usluge tekućeg i investicijskog održavanja</v>
      </c>
      <c r="G63" s="183" t="s">
        <v>188</v>
      </c>
      <c r="H63" s="144" t="s">
        <v>1381</v>
      </c>
      <c r="I63" s="182">
        <v>395000</v>
      </c>
      <c r="J63" s="182">
        <v>409650</v>
      </c>
      <c r="K63" s="182">
        <f t="shared" si="3"/>
        <v>14650</v>
      </c>
      <c r="M63" s="139" t="str">
        <f t="shared" si="5"/>
        <v>323</v>
      </c>
      <c r="N63" s="139" t="str">
        <f t="shared" si="6"/>
        <v>32</v>
      </c>
      <c r="R63" s="139">
        <v>3692</v>
      </c>
      <c r="S63" s="139" t="s">
        <v>180</v>
      </c>
      <c r="U63" s="139" t="str">
        <f t="shared" si="10"/>
        <v>36</v>
      </c>
      <c r="V63" s="139" t="str">
        <f t="shared" si="11"/>
        <v>369</v>
      </c>
      <c r="X63" t="s">
        <v>2071</v>
      </c>
      <c r="Y63" t="s">
        <v>2072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31</v>
      </c>
      <c r="D64" s="144" t="str">
        <f t="shared" si="4"/>
        <v>Vlastiti prihodi</v>
      </c>
      <c r="E64" s="149">
        <v>3233</v>
      </c>
      <c r="F64" s="144" t="str">
        <f t="shared" si="9"/>
        <v>Usluge promidžbe i informiranja</v>
      </c>
      <c r="G64" s="183" t="s">
        <v>188</v>
      </c>
      <c r="H64" s="144" t="s">
        <v>1381</v>
      </c>
      <c r="I64" s="182">
        <v>37870</v>
      </c>
      <c r="J64" s="182">
        <v>37870</v>
      </c>
      <c r="K64" s="182">
        <f t="shared" si="3"/>
        <v>0</v>
      </c>
      <c r="M64" s="139" t="str">
        <f t="shared" si="5"/>
        <v>323</v>
      </c>
      <c r="N64" s="139" t="str">
        <f t="shared" si="6"/>
        <v>32</v>
      </c>
      <c r="R64" s="139">
        <v>3693</v>
      </c>
      <c r="S64" s="139" t="s">
        <v>108</v>
      </c>
      <c r="U64" s="139" t="str">
        <f t="shared" si="10"/>
        <v>36</v>
      </c>
      <c r="V64" s="139" t="str">
        <f t="shared" si="11"/>
        <v>369</v>
      </c>
      <c r="X64" t="s">
        <v>2074</v>
      </c>
      <c r="Y64" t="s">
        <v>2075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31</v>
      </c>
      <c r="D65" s="144" t="str">
        <f t="shared" si="4"/>
        <v>Vlastiti prihodi</v>
      </c>
      <c r="E65" s="149">
        <v>3234</v>
      </c>
      <c r="F65" s="144" t="str">
        <f t="shared" si="9"/>
        <v>Komunalne usluge</v>
      </c>
      <c r="G65" s="183" t="s">
        <v>188</v>
      </c>
      <c r="H65" s="144" t="s">
        <v>1381</v>
      </c>
      <c r="I65" s="182">
        <v>423750</v>
      </c>
      <c r="J65" s="182">
        <v>423750</v>
      </c>
      <c r="K65" s="182">
        <f t="shared" si="3"/>
        <v>0</v>
      </c>
      <c r="M65" s="139" t="str">
        <f t="shared" si="5"/>
        <v>323</v>
      </c>
      <c r="N65" s="139" t="str">
        <f t="shared" si="6"/>
        <v>32</v>
      </c>
      <c r="R65" s="139">
        <v>3694</v>
      </c>
      <c r="S65" s="139" t="s">
        <v>180</v>
      </c>
      <c r="U65" s="139" t="str">
        <f t="shared" si="10"/>
        <v>36</v>
      </c>
      <c r="V65" s="139" t="str">
        <f t="shared" si="11"/>
        <v>369</v>
      </c>
      <c r="X65" t="s">
        <v>2076</v>
      </c>
      <c r="Y65" t="s">
        <v>2077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31</v>
      </c>
      <c r="D66" s="144" t="str">
        <f t="shared" si="4"/>
        <v>Vlastiti prihodi</v>
      </c>
      <c r="E66" s="149">
        <v>3235</v>
      </c>
      <c r="F66" s="144" t="str">
        <f t="shared" si="9"/>
        <v>Zakupnine i najamnine</v>
      </c>
      <c r="G66" s="183" t="s">
        <v>188</v>
      </c>
      <c r="H66" s="144" t="s">
        <v>1381</v>
      </c>
      <c r="I66" s="182">
        <v>84000</v>
      </c>
      <c r="J66" s="182">
        <v>84000</v>
      </c>
      <c r="K66" s="182">
        <f t="shared" si="3"/>
        <v>0</v>
      </c>
      <c r="M66" s="139" t="str">
        <f t="shared" si="5"/>
        <v>323</v>
      </c>
      <c r="N66" s="139" t="str">
        <f t="shared" si="6"/>
        <v>32</v>
      </c>
      <c r="R66" s="139">
        <v>3711</v>
      </c>
      <c r="S66" s="139" t="s">
        <v>127</v>
      </c>
      <c r="U66" s="139" t="str">
        <f t="shared" si="10"/>
        <v>37</v>
      </c>
      <c r="V66" s="139" t="str">
        <f t="shared" si="11"/>
        <v>371</v>
      </c>
      <c r="X66" t="s">
        <v>2078</v>
      </c>
      <c r="Y66" t="s">
        <v>2079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31</v>
      </c>
      <c r="D67" s="144" t="str">
        <f t="shared" si="4"/>
        <v>Vlastiti prihodi</v>
      </c>
      <c r="E67" s="149">
        <v>3236</v>
      </c>
      <c r="F67" s="144" t="str">
        <f t="shared" si="9"/>
        <v>Zdravstvene i veterinarske usluge</v>
      </c>
      <c r="G67" s="183" t="s">
        <v>188</v>
      </c>
      <c r="H67" s="144" t="s">
        <v>1381</v>
      </c>
      <c r="I67" s="182">
        <v>21000</v>
      </c>
      <c r="J67" s="182">
        <v>21000</v>
      </c>
      <c r="K67" s="182">
        <f t="shared" si="3"/>
        <v>0</v>
      </c>
      <c r="M67" s="139" t="str">
        <f t="shared" si="5"/>
        <v>323</v>
      </c>
      <c r="N67" s="139" t="str">
        <f t="shared" si="6"/>
        <v>32</v>
      </c>
      <c r="R67" s="139">
        <v>3712</v>
      </c>
      <c r="S67" s="139" t="s">
        <v>145</v>
      </c>
      <c r="U67" s="139" t="str">
        <f t="shared" si="10"/>
        <v>37</v>
      </c>
      <c r="V67" s="139" t="str">
        <f t="shared" si="11"/>
        <v>371</v>
      </c>
      <c r="X67" t="s">
        <v>2080</v>
      </c>
      <c r="Y67" t="s">
        <v>2081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31</v>
      </c>
      <c r="D68" s="144" t="str">
        <f t="shared" si="4"/>
        <v>Vlastiti prihodi</v>
      </c>
      <c r="E68" s="149">
        <v>3237</v>
      </c>
      <c r="F68" s="144" t="str">
        <f t="shared" ref="F68:F99" si="12">IFERROR(VLOOKUP(E68,$R$5:$T$144,2,FALSE),"")</f>
        <v>Intelektualne i osobne usluge</v>
      </c>
      <c r="G68" s="183" t="s">
        <v>188</v>
      </c>
      <c r="H68" s="144" t="s">
        <v>1381</v>
      </c>
      <c r="I68" s="182">
        <v>4995000</v>
      </c>
      <c r="J68" s="182">
        <v>4995000</v>
      </c>
      <c r="K68" s="182">
        <f t="shared" si="3"/>
        <v>0</v>
      </c>
      <c r="M68" s="139" t="str">
        <f t="shared" si="5"/>
        <v>323</v>
      </c>
      <c r="N68" s="139" t="str">
        <f t="shared" si="6"/>
        <v>32</v>
      </c>
      <c r="R68" s="139">
        <v>3713</v>
      </c>
      <c r="S68" s="139" t="s">
        <v>172</v>
      </c>
      <c r="U68" s="139" t="str">
        <f t="shared" si="10"/>
        <v>37</v>
      </c>
      <c r="V68" s="139" t="str">
        <f t="shared" si="11"/>
        <v>371</v>
      </c>
      <c r="X68" t="s">
        <v>2082</v>
      </c>
      <c r="Y68" t="s">
        <v>2083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31</v>
      </c>
      <c r="D69" s="144" t="str">
        <f t="shared" si="4"/>
        <v>Vlastiti prihodi</v>
      </c>
      <c r="E69" s="149">
        <v>3238</v>
      </c>
      <c r="F69" s="144" t="str">
        <f t="shared" si="12"/>
        <v>Računalne usluge</v>
      </c>
      <c r="G69" s="183" t="s">
        <v>188</v>
      </c>
      <c r="H69" s="144" t="s">
        <v>1381</v>
      </c>
      <c r="I69" s="182">
        <v>250000</v>
      </c>
      <c r="J69" s="182">
        <v>250000</v>
      </c>
      <c r="K69" s="182">
        <f t="shared" ref="K69:K144" si="13">+J69-I69</f>
        <v>0</v>
      </c>
      <c r="M69" s="139" t="str">
        <f t="shared" si="5"/>
        <v>323</v>
      </c>
      <c r="N69" s="139" t="str">
        <f t="shared" si="6"/>
        <v>32</v>
      </c>
      <c r="R69" s="139">
        <v>3714</v>
      </c>
      <c r="S69" s="139" t="s">
        <v>193</v>
      </c>
      <c r="U69" s="139" t="str">
        <f t="shared" si="10"/>
        <v>37</v>
      </c>
      <c r="V69" s="139" t="str">
        <f t="shared" si="11"/>
        <v>371</v>
      </c>
      <c r="X69" t="s">
        <v>2084</v>
      </c>
      <c r="Y69" t="s">
        <v>2085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31</v>
      </c>
      <c r="D70" s="144" t="str">
        <f t="shared" ref="D70:D82" si="14">IFERROR(VLOOKUP(C70,$O$6:$P$23,2,FALSE),"")</f>
        <v>Vlastiti prihodi</v>
      </c>
      <c r="E70" s="149">
        <v>3239</v>
      </c>
      <c r="F70" s="144" t="str">
        <f t="shared" si="12"/>
        <v>Ostale usluge</v>
      </c>
      <c r="G70" s="183" t="s">
        <v>188</v>
      </c>
      <c r="H70" s="144" t="s">
        <v>1381</v>
      </c>
      <c r="I70" s="182">
        <v>165950</v>
      </c>
      <c r="J70" s="182">
        <v>165950</v>
      </c>
      <c r="K70" s="182">
        <f t="shared" si="13"/>
        <v>0</v>
      </c>
      <c r="M70" s="139" t="str">
        <f t="shared" ref="M70:M146" si="15">LEFT(E70,3)</f>
        <v>323</v>
      </c>
      <c r="N70" s="139" t="str">
        <f t="shared" ref="N70:N146" si="16">LEFT(E70,2)</f>
        <v>32</v>
      </c>
      <c r="R70" s="139">
        <v>3715</v>
      </c>
      <c r="S70" s="139" t="s">
        <v>131</v>
      </c>
      <c r="U70" s="139" t="str">
        <f t="shared" si="10"/>
        <v>37</v>
      </c>
      <c r="V70" s="139" t="str">
        <f t="shared" si="11"/>
        <v>371</v>
      </c>
      <c r="X70" t="s">
        <v>2088</v>
      </c>
      <c r="Y70" t="s">
        <v>2089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31</v>
      </c>
      <c r="D71" s="144" t="str">
        <f t="shared" si="14"/>
        <v>Vlastiti prihodi</v>
      </c>
      <c r="E71" s="149">
        <v>3241</v>
      </c>
      <c r="F71" s="144" t="str">
        <f t="shared" si="12"/>
        <v>Naknade troškova osobama izvan radnog odnosa</v>
      </c>
      <c r="G71" s="183" t="s">
        <v>188</v>
      </c>
      <c r="H71" s="144" t="s">
        <v>1381</v>
      </c>
      <c r="I71" s="182">
        <v>300470</v>
      </c>
      <c r="J71" s="182">
        <v>300470</v>
      </c>
      <c r="K71" s="182">
        <f t="shared" si="13"/>
        <v>0</v>
      </c>
      <c r="M71" s="139" t="str">
        <f t="shared" si="15"/>
        <v>324</v>
      </c>
      <c r="N71" s="139" t="str">
        <f t="shared" si="16"/>
        <v>32</v>
      </c>
      <c r="R71" s="139">
        <v>3721</v>
      </c>
      <c r="S71" s="139" t="s">
        <v>69</v>
      </c>
      <c r="U71" s="139" t="str">
        <f t="shared" si="10"/>
        <v>37</v>
      </c>
      <c r="V71" s="139" t="str">
        <f t="shared" si="11"/>
        <v>372</v>
      </c>
      <c r="X71" t="s">
        <v>1075</v>
      </c>
      <c r="Y71" t="s">
        <v>1076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31</v>
      </c>
      <c r="D72" s="144" t="str">
        <f t="shared" si="14"/>
        <v>Vlastiti prihodi</v>
      </c>
      <c r="E72" s="149">
        <v>3292</v>
      </c>
      <c r="F72" s="144" t="str">
        <f t="shared" si="12"/>
        <v>Premije osiguranja</v>
      </c>
      <c r="G72" s="183" t="s">
        <v>188</v>
      </c>
      <c r="H72" s="144" t="s">
        <v>1381</v>
      </c>
      <c r="I72" s="182">
        <v>30000</v>
      </c>
      <c r="J72" s="182">
        <v>30000</v>
      </c>
      <c r="K72" s="182">
        <f t="shared" si="13"/>
        <v>0</v>
      </c>
      <c r="M72" s="139" t="str">
        <f t="shared" si="15"/>
        <v>329</v>
      </c>
      <c r="N72" s="139" t="str">
        <f t="shared" si="16"/>
        <v>32</v>
      </c>
      <c r="R72" s="139">
        <v>3722</v>
      </c>
      <c r="S72" s="139" t="s">
        <v>154</v>
      </c>
      <c r="U72" s="139" t="str">
        <f t="shared" si="10"/>
        <v>37</v>
      </c>
      <c r="V72" s="139" t="str">
        <f t="shared" si="11"/>
        <v>372</v>
      </c>
      <c r="X72" t="s">
        <v>1077</v>
      </c>
      <c r="Y72" t="s">
        <v>1078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31</v>
      </c>
      <c r="D73" s="144" t="str">
        <f t="shared" si="14"/>
        <v>Vlastiti prihodi</v>
      </c>
      <c r="E73" s="149">
        <v>3293</v>
      </c>
      <c r="F73" s="144" t="str">
        <f t="shared" si="12"/>
        <v>Reprezentacija</v>
      </c>
      <c r="G73" s="183" t="s">
        <v>188</v>
      </c>
      <c r="H73" s="144" t="s">
        <v>1381</v>
      </c>
      <c r="I73" s="182">
        <v>258030</v>
      </c>
      <c r="J73" s="182">
        <v>258030</v>
      </c>
      <c r="K73" s="182">
        <f t="shared" si="13"/>
        <v>0</v>
      </c>
      <c r="M73" s="139" t="str">
        <f t="shared" si="15"/>
        <v>329</v>
      </c>
      <c r="N73" s="139" t="str">
        <f t="shared" si="16"/>
        <v>32</v>
      </c>
      <c r="R73" s="139">
        <v>3723</v>
      </c>
      <c r="S73" s="139" t="s">
        <v>109</v>
      </c>
      <c r="U73" s="139" t="str">
        <f t="shared" si="10"/>
        <v>37</v>
      </c>
      <c r="V73" s="139" t="str">
        <f t="shared" si="11"/>
        <v>372</v>
      </c>
      <c r="X73" t="s">
        <v>2090</v>
      </c>
      <c r="Y73" t="s">
        <v>2091</v>
      </c>
    </row>
    <row r="74" spans="1:25">
      <c r="A74" s="143" t="s">
        <v>48</v>
      </c>
      <c r="B74" s="143" t="s">
        <v>49</v>
      </c>
      <c r="C74" s="149">
        <v>31</v>
      </c>
      <c r="D74" s="144" t="s">
        <v>95</v>
      </c>
      <c r="E74" s="149">
        <v>3294</v>
      </c>
      <c r="F74" s="144" t="str">
        <f t="shared" si="12"/>
        <v>Članarine i norme</v>
      </c>
      <c r="G74" s="183" t="s">
        <v>188</v>
      </c>
      <c r="H74" s="144" t="s">
        <v>1381</v>
      </c>
      <c r="I74" s="182">
        <v>0</v>
      </c>
      <c r="J74" s="182">
        <v>4496</v>
      </c>
      <c r="K74" s="182">
        <f t="shared" si="13"/>
        <v>4496</v>
      </c>
      <c r="M74" s="139" t="str">
        <f t="shared" si="15"/>
        <v>329</v>
      </c>
      <c r="N74" s="139" t="str">
        <f t="shared" si="16"/>
        <v>32</v>
      </c>
      <c r="X74"/>
      <c r="Y74"/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31</v>
      </c>
      <c r="D75" s="144" t="str">
        <f t="shared" si="14"/>
        <v>Vlastiti prihodi</v>
      </c>
      <c r="E75" s="149">
        <v>3295</v>
      </c>
      <c r="F75" s="144" t="str">
        <f t="shared" si="12"/>
        <v>Pristojbe i naknade</v>
      </c>
      <c r="G75" s="183" t="s">
        <v>188</v>
      </c>
      <c r="H75" s="144" t="s">
        <v>1381</v>
      </c>
      <c r="I75" s="182">
        <v>5690</v>
      </c>
      <c r="J75" s="182">
        <v>5690</v>
      </c>
      <c r="K75" s="182">
        <f t="shared" si="13"/>
        <v>0</v>
      </c>
      <c r="M75" s="139" t="str">
        <f t="shared" si="15"/>
        <v>329</v>
      </c>
      <c r="N75" s="139" t="str">
        <f t="shared" si="16"/>
        <v>32</v>
      </c>
      <c r="R75" s="139">
        <v>3811</v>
      </c>
      <c r="S75" s="139" t="s">
        <v>59</v>
      </c>
      <c r="U75" s="139" t="str">
        <f t="shared" si="10"/>
        <v>38</v>
      </c>
      <c r="V75" s="139" t="str">
        <f t="shared" si="11"/>
        <v>381</v>
      </c>
      <c r="X75" t="s">
        <v>2092</v>
      </c>
      <c r="Y75" t="s">
        <v>2093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31</v>
      </c>
      <c r="D76" s="144" t="str">
        <f t="shared" si="14"/>
        <v>Vlastiti prihodi</v>
      </c>
      <c r="E76" s="149">
        <v>3299</v>
      </c>
      <c r="F76" s="144" t="str">
        <f t="shared" si="12"/>
        <v>Ostali nespomenuti rashodi poslovanja</v>
      </c>
      <c r="G76" s="183" t="s">
        <v>188</v>
      </c>
      <c r="H76" s="144" t="s">
        <v>1381</v>
      </c>
      <c r="I76" s="182">
        <v>10500</v>
      </c>
      <c r="J76" s="182">
        <v>10500</v>
      </c>
      <c r="K76" s="182">
        <f t="shared" si="13"/>
        <v>0</v>
      </c>
      <c r="M76" s="139" t="str">
        <f t="shared" si="15"/>
        <v>329</v>
      </c>
      <c r="N76" s="139" t="str">
        <f t="shared" si="16"/>
        <v>32</v>
      </c>
      <c r="R76" s="139">
        <v>3812</v>
      </c>
      <c r="S76" s="139" t="s">
        <v>155</v>
      </c>
      <c r="U76" s="139" t="str">
        <f t="shared" si="10"/>
        <v>38</v>
      </c>
      <c r="V76" s="139" t="str">
        <f t="shared" si="11"/>
        <v>381</v>
      </c>
      <c r="X76" t="s">
        <v>2094</v>
      </c>
      <c r="Y76" t="s">
        <v>2095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31</v>
      </c>
      <c r="D77" s="144" t="str">
        <f t="shared" si="14"/>
        <v>Vlastiti prihodi</v>
      </c>
      <c r="E77" s="149">
        <v>3431</v>
      </c>
      <c r="F77" s="144" t="str">
        <f t="shared" si="12"/>
        <v>Bankarske usluge i usluge platnog prometa</v>
      </c>
      <c r="G77" s="183" t="s">
        <v>188</v>
      </c>
      <c r="H77" s="144" t="s">
        <v>1381</v>
      </c>
      <c r="I77" s="182">
        <v>23100</v>
      </c>
      <c r="J77" s="182">
        <v>23100</v>
      </c>
      <c r="K77" s="182">
        <f t="shared" si="13"/>
        <v>0</v>
      </c>
      <c r="M77" s="139" t="str">
        <f t="shared" si="15"/>
        <v>343</v>
      </c>
      <c r="N77" s="139" t="str">
        <f t="shared" si="16"/>
        <v>34</v>
      </c>
      <c r="R77" s="139">
        <v>3813</v>
      </c>
      <c r="S77" s="139" t="s">
        <v>98</v>
      </c>
      <c r="U77" s="139" t="str">
        <f t="shared" ref="U77:U90" si="17">LEFT(R77,2)</f>
        <v>38</v>
      </c>
      <c r="V77" s="139" t="str">
        <f t="shared" ref="V77:V90" si="18">LEFT(R77,3)</f>
        <v>381</v>
      </c>
      <c r="X77" t="s">
        <v>2096</v>
      </c>
      <c r="Y77" t="s">
        <v>2097</v>
      </c>
    </row>
    <row r="78" spans="1:25">
      <c r="A78" s="143" t="s">
        <v>48</v>
      </c>
      <c r="B78" s="143" t="s">
        <v>49</v>
      </c>
      <c r="C78" s="149">
        <v>31</v>
      </c>
      <c r="D78" s="144" t="s">
        <v>95</v>
      </c>
      <c r="E78" s="149">
        <v>3432</v>
      </c>
      <c r="F78" s="144" t="str">
        <f t="shared" si="12"/>
        <v>Negativne tečajne razlike i razlike zbog primjene valutne kl</v>
      </c>
      <c r="G78" s="183" t="s">
        <v>188</v>
      </c>
      <c r="H78" s="144" t="s">
        <v>1381</v>
      </c>
      <c r="I78" s="182">
        <v>0</v>
      </c>
      <c r="J78" s="182">
        <v>105</v>
      </c>
      <c r="K78" s="182">
        <f t="shared" si="13"/>
        <v>105</v>
      </c>
      <c r="M78" s="139" t="str">
        <f t="shared" si="15"/>
        <v>343</v>
      </c>
      <c r="N78" s="139" t="str">
        <f t="shared" si="16"/>
        <v>34</v>
      </c>
      <c r="X78"/>
      <c r="Y78"/>
    </row>
    <row r="79" spans="1:25">
      <c r="A79" s="143" t="s">
        <v>48</v>
      </c>
      <c r="B79" s="143" t="s">
        <v>49</v>
      </c>
      <c r="C79" s="149">
        <v>31</v>
      </c>
      <c r="D79" s="144" t="s">
        <v>95</v>
      </c>
      <c r="E79" s="149">
        <v>3433</v>
      </c>
      <c r="F79" s="144" t="str">
        <f t="shared" si="12"/>
        <v>Zatezne kamate</v>
      </c>
      <c r="G79" s="183" t="s">
        <v>188</v>
      </c>
      <c r="H79" s="144" t="s">
        <v>1381</v>
      </c>
      <c r="I79" s="182">
        <v>0</v>
      </c>
      <c r="J79" s="182">
        <v>50</v>
      </c>
      <c r="K79" s="182">
        <f t="shared" si="13"/>
        <v>50</v>
      </c>
      <c r="M79" s="139" t="str">
        <f t="shared" si="15"/>
        <v>343</v>
      </c>
      <c r="N79" s="139" t="str">
        <f t="shared" si="16"/>
        <v>34</v>
      </c>
      <c r="X79"/>
      <c r="Y79"/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31</v>
      </c>
      <c r="D80" s="144" t="str">
        <f t="shared" si="14"/>
        <v>Vlastiti prihodi</v>
      </c>
      <c r="E80" s="149">
        <v>3434</v>
      </c>
      <c r="F80" s="144" t="str">
        <f t="shared" si="12"/>
        <v>Ostali nespomenuti financijski rashodi</v>
      </c>
      <c r="G80" s="183" t="s">
        <v>188</v>
      </c>
      <c r="H80" s="144" t="s">
        <v>1381</v>
      </c>
      <c r="I80" s="182">
        <v>8400</v>
      </c>
      <c r="J80" s="182">
        <v>8400</v>
      </c>
      <c r="K80" s="182">
        <f t="shared" si="13"/>
        <v>0</v>
      </c>
      <c r="M80" s="139" t="str">
        <f t="shared" si="15"/>
        <v>343</v>
      </c>
      <c r="N80" s="139" t="str">
        <f t="shared" si="16"/>
        <v>34</v>
      </c>
      <c r="R80" s="139">
        <v>3821</v>
      </c>
      <c r="S80" s="139" t="s">
        <v>173</v>
      </c>
      <c r="U80" s="139" t="str">
        <f t="shared" si="17"/>
        <v>38</v>
      </c>
      <c r="V80" s="139" t="str">
        <f t="shared" si="18"/>
        <v>382</v>
      </c>
      <c r="X80" t="s">
        <v>1829</v>
      </c>
      <c r="Y80" t="s">
        <v>1830</v>
      </c>
    </row>
    <row r="81" spans="1:25">
      <c r="A81" s="143" t="s">
        <v>48</v>
      </c>
      <c r="B81" s="143" t="s">
        <v>49</v>
      </c>
      <c r="C81" s="149">
        <v>31</v>
      </c>
      <c r="D81" s="144" t="s">
        <v>95</v>
      </c>
      <c r="E81" s="149">
        <v>3721</v>
      </c>
      <c r="F81" s="144" t="str">
        <f t="shared" si="12"/>
        <v>Naknade građanima i kućanstvima u novcu</v>
      </c>
      <c r="G81" s="183" t="s">
        <v>188</v>
      </c>
      <c r="H81" s="144" t="s">
        <v>1381</v>
      </c>
      <c r="I81" s="182">
        <v>0</v>
      </c>
      <c r="J81" s="182">
        <v>120400</v>
      </c>
      <c r="K81" s="182">
        <f t="shared" si="13"/>
        <v>120400</v>
      </c>
      <c r="M81" s="139" t="str">
        <f t="shared" si="15"/>
        <v>372</v>
      </c>
      <c r="N81" s="139" t="str">
        <f t="shared" si="16"/>
        <v>37</v>
      </c>
      <c r="X81"/>
      <c r="Y81"/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31</v>
      </c>
      <c r="D82" s="144" t="str">
        <f t="shared" si="14"/>
        <v>Vlastiti prihodi</v>
      </c>
      <c r="E82" s="149">
        <v>3811</v>
      </c>
      <c r="F82" s="144" t="str">
        <f t="shared" si="12"/>
        <v>Tekuće donacije u novcu</v>
      </c>
      <c r="G82" s="183" t="s">
        <v>188</v>
      </c>
      <c r="H82" s="144" t="s">
        <v>1381</v>
      </c>
      <c r="I82" s="182">
        <v>50000</v>
      </c>
      <c r="J82" s="182">
        <v>50000</v>
      </c>
      <c r="K82" s="182">
        <f t="shared" si="13"/>
        <v>0</v>
      </c>
      <c r="M82" s="139" t="str">
        <f t="shared" si="15"/>
        <v>381</v>
      </c>
      <c r="N82" s="139" t="str">
        <f t="shared" si="16"/>
        <v>38</v>
      </c>
      <c r="R82" s="139">
        <v>3831</v>
      </c>
      <c r="S82" s="139" t="s">
        <v>156</v>
      </c>
      <c r="U82" s="139" t="str">
        <f t="shared" si="17"/>
        <v>38</v>
      </c>
      <c r="V82" s="139" t="str">
        <f t="shared" si="18"/>
        <v>383</v>
      </c>
      <c r="X82" t="s">
        <v>2098</v>
      </c>
      <c r="Y82" t="s">
        <v>2099</v>
      </c>
    </row>
    <row r="83" spans="1:25">
      <c r="A83" s="143" t="s">
        <v>48</v>
      </c>
      <c r="B83" s="143" t="s">
        <v>49</v>
      </c>
      <c r="C83" s="149">
        <v>31</v>
      </c>
      <c r="D83" s="144" t="s">
        <v>95</v>
      </c>
      <c r="E83" s="149">
        <v>4123</v>
      </c>
      <c r="F83" s="144" t="str">
        <f t="shared" si="12"/>
        <v>Licence</v>
      </c>
      <c r="G83" s="183" t="s">
        <v>188</v>
      </c>
      <c r="H83" s="144" t="s">
        <v>1381</v>
      </c>
      <c r="I83" s="182">
        <v>0</v>
      </c>
      <c r="J83" s="182">
        <v>5650</v>
      </c>
      <c r="K83" s="182">
        <f t="shared" si="13"/>
        <v>5650</v>
      </c>
      <c r="M83" s="139" t="str">
        <f t="shared" si="15"/>
        <v>412</v>
      </c>
      <c r="N83" s="139" t="str">
        <f t="shared" si="16"/>
        <v>41</v>
      </c>
      <c r="X83"/>
      <c r="Y83"/>
    </row>
    <row r="84" spans="1:25">
      <c r="A84" s="143" t="s">
        <v>48</v>
      </c>
      <c r="B84" s="143" t="s">
        <v>49</v>
      </c>
      <c r="C84" s="149">
        <v>31</v>
      </c>
      <c r="D84" s="144" t="s">
        <v>95</v>
      </c>
      <c r="E84" s="149">
        <v>4214</v>
      </c>
      <c r="F84" s="144" t="str">
        <f t="shared" si="12"/>
        <v>Ostali građevinski objekti</v>
      </c>
      <c r="G84" s="183" t="s">
        <v>188</v>
      </c>
      <c r="H84" s="144" t="s">
        <v>1381</v>
      </c>
      <c r="I84" s="182">
        <v>0</v>
      </c>
      <c r="J84" s="182">
        <v>116000</v>
      </c>
      <c r="K84" s="182">
        <f t="shared" si="13"/>
        <v>116000</v>
      </c>
      <c r="M84" s="139" t="str">
        <f t="shared" si="15"/>
        <v>421</v>
      </c>
      <c r="N84" s="139" t="str">
        <f t="shared" si="16"/>
        <v>42</v>
      </c>
      <c r="X84"/>
      <c r="Y84"/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31</v>
      </c>
      <c r="D85" s="144" t="str">
        <f t="shared" ref="D85:D120" si="19">IFERROR(VLOOKUP(C85,$O$6:$P$23,2,FALSE),"")</f>
        <v>Vlastiti prihodi</v>
      </c>
      <c r="E85" s="149">
        <v>4221</v>
      </c>
      <c r="F85" s="144" t="str">
        <f t="shared" si="12"/>
        <v>Uredska oprema i namještaj</v>
      </c>
      <c r="G85" s="183" t="s">
        <v>188</v>
      </c>
      <c r="H85" s="144" t="s">
        <v>1381</v>
      </c>
      <c r="I85" s="182">
        <v>1052500</v>
      </c>
      <c r="J85" s="182">
        <v>998500</v>
      </c>
      <c r="K85" s="182">
        <f t="shared" si="13"/>
        <v>-54000</v>
      </c>
      <c r="M85" s="139" t="str">
        <f t="shared" si="15"/>
        <v>422</v>
      </c>
      <c r="N85" s="139" t="str">
        <f t="shared" si="16"/>
        <v>42</v>
      </c>
      <c r="R85" s="139">
        <v>3833</v>
      </c>
      <c r="S85" s="139" t="s">
        <v>157</v>
      </c>
      <c r="U85" s="139" t="str">
        <f t="shared" si="17"/>
        <v>38</v>
      </c>
      <c r="V85" s="139" t="str">
        <f t="shared" si="18"/>
        <v>383</v>
      </c>
      <c r="X85" t="s">
        <v>2102</v>
      </c>
      <c r="Y85" t="s">
        <v>2103</v>
      </c>
    </row>
    <row r="86" spans="1:25">
      <c r="A86" s="143" t="s">
        <v>48</v>
      </c>
      <c r="B86" s="143" t="s">
        <v>49</v>
      </c>
      <c r="C86" s="149">
        <v>31</v>
      </c>
      <c r="D86" s="144" t="s">
        <v>95</v>
      </c>
      <c r="E86" s="149">
        <v>4222</v>
      </c>
      <c r="F86" s="144" t="str">
        <f t="shared" si="12"/>
        <v>Komunikacijska oprema</v>
      </c>
      <c r="G86" s="183" t="s">
        <v>188</v>
      </c>
      <c r="H86" s="144" t="s">
        <v>1381</v>
      </c>
      <c r="I86" s="182">
        <v>0</v>
      </c>
      <c r="J86" s="182">
        <v>12800</v>
      </c>
      <c r="K86" s="182">
        <f t="shared" si="13"/>
        <v>12800</v>
      </c>
      <c r="M86" s="139" t="str">
        <f t="shared" si="15"/>
        <v>422</v>
      </c>
      <c r="N86" s="139" t="str">
        <f t="shared" si="16"/>
        <v>42</v>
      </c>
      <c r="X86"/>
      <c r="Y86"/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31</v>
      </c>
      <c r="D87" s="144" t="str">
        <f t="shared" si="19"/>
        <v>Vlastiti prihodi</v>
      </c>
      <c r="E87" s="149">
        <v>4223</v>
      </c>
      <c r="F87" s="144" t="str">
        <f t="shared" si="12"/>
        <v>Oprema za održavanje i zaštitu</v>
      </c>
      <c r="G87" s="183" t="s">
        <v>188</v>
      </c>
      <c r="H87" s="144" t="s">
        <v>1381</v>
      </c>
      <c r="I87" s="182">
        <v>6300</v>
      </c>
      <c r="J87" s="182">
        <v>6300</v>
      </c>
      <c r="K87" s="182">
        <f t="shared" si="13"/>
        <v>0</v>
      </c>
      <c r="M87" s="139" t="str">
        <f t="shared" si="15"/>
        <v>422</v>
      </c>
      <c r="N87" s="139" t="str">
        <f t="shared" si="16"/>
        <v>42</v>
      </c>
      <c r="R87" s="139">
        <v>3834</v>
      </c>
      <c r="S87" s="139" t="s">
        <v>158</v>
      </c>
      <c r="U87" s="139" t="str">
        <f t="shared" si="17"/>
        <v>38</v>
      </c>
      <c r="V87" s="139" t="str">
        <f t="shared" si="18"/>
        <v>383</v>
      </c>
      <c r="X87" t="s">
        <v>2104</v>
      </c>
      <c r="Y87" t="s">
        <v>2105</v>
      </c>
    </row>
    <row r="88" spans="1:25">
      <c r="A88" s="143" t="s">
        <v>48</v>
      </c>
      <c r="B88" s="143" t="s">
        <v>49</v>
      </c>
      <c r="C88" s="149">
        <v>31</v>
      </c>
      <c r="D88" s="144" t="s">
        <v>95</v>
      </c>
      <c r="E88" s="149">
        <v>4224</v>
      </c>
      <c r="F88" s="144" t="str">
        <f t="shared" si="12"/>
        <v>Medicinska i laboratorijska oprema</v>
      </c>
      <c r="G88" s="183" t="s">
        <v>188</v>
      </c>
      <c r="H88" s="144" t="s">
        <v>1381</v>
      </c>
      <c r="I88" s="182">
        <v>0</v>
      </c>
      <c r="J88" s="182">
        <v>13847</v>
      </c>
      <c r="K88" s="182">
        <f t="shared" si="13"/>
        <v>13847</v>
      </c>
      <c r="M88" s="139" t="str">
        <f t="shared" si="15"/>
        <v>422</v>
      </c>
      <c r="N88" s="139" t="str">
        <f t="shared" si="16"/>
        <v>42</v>
      </c>
      <c r="X88"/>
      <c r="Y88"/>
    </row>
    <row r="89" spans="1:25">
      <c r="A89" s="143" t="s">
        <v>48</v>
      </c>
      <c r="B89" s="143" t="s">
        <v>49</v>
      </c>
      <c r="C89" s="149">
        <v>31</v>
      </c>
      <c r="D89" s="144" t="s">
        <v>95</v>
      </c>
      <c r="E89" s="149">
        <v>4225</v>
      </c>
      <c r="F89" s="144" t="str">
        <f t="shared" si="12"/>
        <v>Instrumenti, uređaji i strojevi</v>
      </c>
      <c r="G89" s="183" t="s">
        <v>188</v>
      </c>
      <c r="H89" s="144" t="s">
        <v>1381</v>
      </c>
      <c r="I89" s="182">
        <v>0</v>
      </c>
      <c r="J89" s="182">
        <v>20929</v>
      </c>
      <c r="K89" s="182">
        <f t="shared" si="13"/>
        <v>20929</v>
      </c>
      <c r="M89" s="139" t="str">
        <f t="shared" si="15"/>
        <v>422</v>
      </c>
      <c r="N89" s="139" t="str">
        <f t="shared" si="16"/>
        <v>42</v>
      </c>
      <c r="X89"/>
      <c r="Y89"/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31</v>
      </c>
      <c r="D90" s="144" t="str">
        <f t="shared" si="19"/>
        <v>Vlastiti prihodi</v>
      </c>
      <c r="E90" s="149">
        <v>4226</v>
      </c>
      <c r="F90" s="144" t="str">
        <f t="shared" si="12"/>
        <v>Sportska i glazbena oprema</v>
      </c>
      <c r="G90" s="183" t="s">
        <v>188</v>
      </c>
      <c r="H90" s="144" t="s">
        <v>1381</v>
      </c>
      <c r="I90" s="182">
        <v>15000</v>
      </c>
      <c r="J90" s="182">
        <v>15000</v>
      </c>
      <c r="K90" s="182">
        <f t="shared" si="13"/>
        <v>0</v>
      </c>
      <c r="M90" s="139" t="str">
        <f t="shared" si="15"/>
        <v>422</v>
      </c>
      <c r="N90" s="139" t="str">
        <f t="shared" si="16"/>
        <v>42</v>
      </c>
      <c r="R90" s="139">
        <v>3835</v>
      </c>
      <c r="S90" s="139" t="s">
        <v>159</v>
      </c>
      <c r="U90" s="139" t="str">
        <f t="shared" si="17"/>
        <v>38</v>
      </c>
      <c r="V90" s="139" t="str">
        <f t="shared" si="18"/>
        <v>383</v>
      </c>
      <c r="X90" t="s">
        <v>2106</v>
      </c>
      <c r="Y90" t="s">
        <v>2107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31</v>
      </c>
      <c r="D91" s="144" t="str">
        <f t="shared" si="19"/>
        <v>Vlastiti prihodi</v>
      </c>
      <c r="E91" s="149">
        <v>4227</v>
      </c>
      <c r="F91" s="144" t="str">
        <f t="shared" si="12"/>
        <v>Uređaji, strojevi i oprema za ostale namjene</v>
      </c>
      <c r="G91" s="183" t="s">
        <v>188</v>
      </c>
      <c r="H91" s="144" t="s">
        <v>1381</v>
      </c>
      <c r="I91" s="182">
        <v>40000</v>
      </c>
      <c r="J91" s="182">
        <v>164650</v>
      </c>
      <c r="K91" s="182">
        <f t="shared" si="13"/>
        <v>124650</v>
      </c>
      <c r="M91" s="139" t="str">
        <f t="shared" si="15"/>
        <v>422</v>
      </c>
      <c r="N91" s="139" t="str">
        <f t="shared" si="16"/>
        <v>42</v>
      </c>
      <c r="R91" s="194">
        <v>3861</v>
      </c>
      <c r="S91" s="139" t="s">
        <v>760</v>
      </c>
      <c r="T91" s="194"/>
      <c r="U91" s="194" t="str">
        <f>LEFT(R91,2)</f>
        <v>38</v>
      </c>
      <c r="V91" s="194" t="str">
        <f>LEFT(R91,3)</f>
        <v>386</v>
      </c>
      <c r="X91" t="s">
        <v>2108</v>
      </c>
      <c r="Y91" t="s">
        <v>2109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31</v>
      </c>
      <c r="D92" s="144" t="str">
        <f t="shared" si="19"/>
        <v>Vlastiti prihodi</v>
      </c>
      <c r="E92" s="149">
        <v>4241</v>
      </c>
      <c r="F92" s="144" t="str">
        <f t="shared" si="12"/>
        <v>Knjige</v>
      </c>
      <c r="G92" s="183" t="s">
        <v>188</v>
      </c>
      <c r="H92" s="144" t="s">
        <v>1381</v>
      </c>
      <c r="I92" s="182">
        <v>10000</v>
      </c>
      <c r="J92" s="182">
        <v>10000</v>
      </c>
      <c r="K92" s="182">
        <f t="shared" si="13"/>
        <v>0</v>
      </c>
      <c r="M92" s="139" t="str">
        <f t="shared" si="15"/>
        <v>424</v>
      </c>
      <c r="N92" s="139" t="str">
        <f t="shared" si="16"/>
        <v>42</v>
      </c>
      <c r="R92" s="193">
        <v>3862</v>
      </c>
      <c r="S92" s="139" t="s">
        <v>761</v>
      </c>
      <c r="U92" s="139" t="str">
        <f>LEFT(R92,2)</f>
        <v>38</v>
      </c>
      <c r="V92" s="139" t="str">
        <f>LEFT(R92,3)</f>
        <v>386</v>
      </c>
      <c r="X92" t="s">
        <v>2122</v>
      </c>
      <c r="Y92" t="s">
        <v>2123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31</v>
      </c>
      <c r="D93" s="144" t="str">
        <f t="shared" si="19"/>
        <v>Vlastiti prihodi</v>
      </c>
      <c r="E93" s="149">
        <v>4262</v>
      </c>
      <c r="F93" s="144" t="str">
        <f t="shared" si="12"/>
        <v>Ulaganja u računalne programe</v>
      </c>
      <c r="G93" s="183" t="s">
        <v>188</v>
      </c>
      <c r="H93" s="144" t="s">
        <v>1381</v>
      </c>
      <c r="I93" s="182">
        <v>105000</v>
      </c>
      <c r="J93" s="182">
        <v>105000</v>
      </c>
      <c r="K93" s="182">
        <f t="shared" si="13"/>
        <v>0</v>
      </c>
      <c r="M93" s="139" t="str">
        <f t="shared" si="15"/>
        <v>426</v>
      </c>
      <c r="N93" s="139" t="str">
        <f t="shared" si="16"/>
        <v>42</v>
      </c>
      <c r="R93" s="193">
        <v>3863</v>
      </c>
      <c r="S93" s="139" t="s">
        <v>762</v>
      </c>
      <c r="U93" s="139" t="str">
        <f>LEFT(R93,2)</f>
        <v>38</v>
      </c>
      <c r="V93" s="139" t="str">
        <f>LEFT(R93,3)</f>
        <v>386</v>
      </c>
      <c r="X93" t="s">
        <v>1831</v>
      </c>
      <c r="Y93" t="s">
        <v>1832</v>
      </c>
    </row>
    <row r="94" spans="1:25">
      <c r="A94" s="143" t="s">
        <v>48</v>
      </c>
      <c r="B94" s="143" t="str">
        <f>IF(C94="","",VLOOKUP('Opći dio'!$C$3,'Opći dio'!$L$6:$U$137,9,FALSE))</f>
        <v>Sveučilišta i veleučilišta u Republici Hrvatskoj</v>
      </c>
      <c r="C94" s="149">
        <v>31</v>
      </c>
      <c r="D94" s="144" t="str">
        <f t="shared" ref="D94:D95" si="20">IFERROR(VLOOKUP(C94,$O$6:$P$23,2,FALSE),"")</f>
        <v>Vlastiti prihodi</v>
      </c>
      <c r="E94" s="149">
        <v>4511</v>
      </c>
      <c r="F94" s="144" t="str">
        <f t="shared" si="12"/>
        <v>Dodatna ulaganja na građevinskim objektima</v>
      </c>
      <c r="G94" s="183" t="s">
        <v>188</v>
      </c>
      <c r="H94" s="144" t="s">
        <v>1381</v>
      </c>
      <c r="I94" s="182">
        <v>0</v>
      </c>
      <c r="J94" s="182">
        <v>483078</v>
      </c>
      <c r="K94" s="182">
        <f t="shared" si="13"/>
        <v>483078</v>
      </c>
      <c r="M94" s="139" t="str">
        <f t="shared" si="15"/>
        <v>451</v>
      </c>
      <c r="N94" s="139" t="str">
        <f t="shared" si="16"/>
        <v>45</v>
      </c>
      <c r="R94" s="193"/>
      <c r="X94"/>
      <c r="Y94"/>
    </row>
    <row r="95" spans="1:25">
      <c r="A95" s="143" t="s">
        <v>48</v>
      </c>
      <c r="B95" s="143" t="str">
        <f>IF(C95="","",VLOOKUP('Opći dio'!$C$3,'Opći dio'!$L$6:$U$137,9,FALSE))</f>
        <v>Sveučilišta i veleučilišta u Republici Hrvatskoj</v>
      </c>
      <c r="C95" s="149">
        <v>31</v>
      </c>
      <c r="D95" s="144" t="str">
        <f t="shared" si="20"/>
        <v>Vlastiti prihodi</v>
      </c>
      <c r="E95" s="149">
        <v>4521</v>
      </c>
      <c r="F95" s="144" t="str">
        <f t="shared" si="12"/>
        <v>Dodatna ulaganja na postrojenjima i opremi</v>
      </c>
      <c r="G95" s="183" t="s">
        <v>188</v>
      </c>
      <c r="H95" s="144" t="s">
        <v>1381</v>
      </c>
      <c r="I95" s="182">
        <v>0</v>
      </c>
      <c r="J95" s="182">
        <v>279000</v>
      </c>
      <c r="K95" s="182">
        <f t="shared" si="13"/>
        <v>279000</v>
      </c>
      <c r="M95" s="139" t="str">
        <f t="shared" si="15"/>
        <v>452</v>
      </c>
      <c r="N95" s="139" t="str">
        <f t="shared" si="16"/>
        <v>45</v>
      </c>
      <c r="R95" s="193"/>
      <c r="X95"/>
      <c r="Y95"/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9"/>
        <v/>
      </c>
      <c r="E96" s="149"/>
      <c r="F96" s="144" t="str">
        <f t="shared" si="12"/>
        <v/>
      </c>
      <c r="G96" s="183"/>
      <c r="H96" s="144" t="str">
        <f>IFERROR(VLOOKUP(G96,$X$6:$Y$321,2,FALSE),"")</f>
        <v/>
      </c>
      <c r="I96" s="182"/>
      <c r="J96" s="182"/>
      <c r="K96" s="182"/>
      <c r="M96" s="139" t="str">
        <f t="shared" si="15"/>
        <v/>
      </c>
      <c r="N96" s="139" t="str">
        <f t="shared" si="16"/>
        <v/>
      </c>
      <c r="R96" s="139">
        <v>4111</v>
      </c>
      <c r="S96" s="139" t="s">
        <v>160</v>
      </c>
      <c r="U96" s="139" t="str">
        <f t="shared" ref="U96:U113" si="21">LEFT(R96,2)</f>
        <v>41</v>
      </c>
      <c r="V96" s="139" t="str">
        <f t="shared" ref="V96:V132" si="22">LEFT(R96,3)</f>
        <v>411</v>
      </c>
      <c r="X96" t="s">
        <v>1068</v>
      </c>
      <c r="Y96" t="s">
        <v>1069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43</v>
      </c>
      <c r="D97" s="144" t="str">
        <f t="shared" si="19"/>
        <v>Ostali prihodi za posebne namjene</v>
      </c>
      <c r="E97" s="149">
        <v>3111</v>
      </c>
      <c r="F97" s="144" t="str">
        <f t="shared" si="12"/>
        <v>Plaće za redovan rad</v>
      </c>
      <c r="G97" s="183" t="s">
        <v>188</v>
      </c>
      <c r="H97" s="144" t="s">
        <v>1381</v>
      </c>
      <c r="I97" s="182">
        <v>1510365</v>
      </c>
      <c r="J97" s="182">
        <v>2603326.39</v>
      </c>
      <c r="K97" s="182">
        <f t="shared" si="13"/>
        <v>1092961.3900000001</v>
      </c>
      <c r="M97" s="139" t="str">
        <f t="shared" si="15"/>
        <v>311</v>
      </c>
      <c r="N97" s="139" t="str">
        <f t="shared" si="16"/>
        <v>31</v>
      </c>
      <c r="R97" s="139">
        <v>4113</v>
      </c>
      <c r="S97" s="139" t="s">
        <v>194</v>
      </c>
      <c r="U97" s="139" t="str">
        <f t="shared" si="21"/>
        <v>41</v>
      </c>
      <c r="V97" s="139" t="str">
        <f t="shared" si="22"/>
        <v>411</v>
      </c>
      <c r="X97" t="s">
        <v>1070</v>
      </c>
      <c r="Y97" t="s">
        <v>1071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149">
        <v>43</v>
      </c>
      <c r="D98" s="144" t="str">
        <f t="shared" si="19"/>
        <v>Ostali prihodi za posebne namjene</v>
      </c>
      <c r="E98" s="149">
        <v>3112</v>
      </c>
      <c r="F98" s="144" t="str">
        <f t="shared" si="12"/>
        <v>Plaće u naravi</v>
      </c>
      <c r="G98" s="183" t="s">
        <v>188</v>
      </c>
      <c r="H98" s="144" t="s">
        <v>1381</v>
      </c>
      <c r="I98" s="182">
        <v>8810</v>
      </c>
      <c r="J98" s="182">
        <v>8810</v>
      </c>
      <c r="K98" s="182">
        <f t="shared" si="13"/>
        <v>0</v>
      </c>
      <c r="M98" s="139" t="str">
        <f t="shared" si="15"/>
        <v>311</v>
      </c>
      <c r="N98" s="139" t="str">
        <f t="shared" si="16"/>
        <v>31</v>
      </c>
      <c r="R98" s="139">
        <v>4122</v>
      </c>
      <c r="S98" s="139" t="s">
        <v>161</v>
      </c>
      <c r="U98" s="139" t="str">
        <f t="shared" si="21"/>
        <v>41</v>
      </c>
      <c r="V98" s="139" t="str">
        <f t="shared" si="22"/>
        <v>412</v>
      </c>
      <c r="X98" t="s">
        <v>1079</v>
      </c>
      <c r="Y98" t="s">
        <v>1080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43</v>
      </c>
      <c r="D99" s="144" t="str">
        <f t="shared" si="19"/>
        <v>Ostali prihodi za posebne namjene</v>
      </c>
      <c r="E99" s="149">
        <v>3113</v>
      </c>
      <c r="F99" s="144" t="str">
        <f t="shared" si="12"/>
        <v>Plaće za prekovremeni rad</v>
      </c>
      <c r="G99" s="183" t="s">
        <v>188</v>
      </c>
      <c r="H99" s="144" t="s">
        <v>1381</v>
      </c>
      <c r="I99" s="182">
        <v>2598950</v>
      </c>
      <c r="J99" s="182">
        <v>3970776.3</v>
      </c>
      <c r="K99" s="182">
        <f t="shared" si="13"/>
        <v>1371826.2999999998</v>
      </c>
      <c r="M99" s="139" t="str">
        <f t="shared" si="15"/>
        <v>311</v>
      </c>
      <c r="N99" s="139" t="str">
        <f t="shared" si="16"/>
        <v>31</v>
      </c>
      <c r="R99" s="139">
        <v>4123</v>
      </c>
      <c r="S99" s="139" t="s">
        <v>132</v>
      </c>
      <c r="U99" s="139" t="str">
        <f t="shared" si="21"/>
        <v>41</v>
      </c>
      <c r="V99" s="139" t="str">
        <f t="shared" si="22"/>
        <v>412</v>
      </c>
      <c r="X99" t="s">
        <v>1833</v>
      </c>
      <c r="Y99" t="s">
        <v>1834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43</v>
      </c>
      <c r="D100" s="144" t="str">
        <f t="shared" si="19"/>
        <v>Ostali prihodi za posebne namjene</v>
      </c>
      <c r="E100" s="149">
        <v>3121</v>
      </c>
      <c r="F100" s="144" t="str">
        <f t="shared" ref="F100:F131" si="23">IFERROR(VLOOKUP(E100,$R$5:$T$144,2,FALSE),"")</f>
        <v>Ostali rashodi za zaposlene</v>
      </c>
      <c r="G100" s="183" t="s">
        <v>188</v>
      </c>
      <c r="H100" s="144" t="s">
        <v>1381</v>
      </c>
      <c r="I100" s="182">
        <v>748850</v>
      </c>
      <c r="J100" s="182">
        <v>220745.28</v>
      </c>
      <c r="K100" s="182">
        <f t="shared" si="13"/>
        <v>-528104.72</v>
      </c>
      <c r="M100" s="139" t="str">
        <f t="shared" si="15"/>
        <v>312</v>
      </c>
      <c r="N100" s="139" t="str">
        <f t="shared" si="16"/>
        <v>31</v>
      </c>
      <c r="R100" s="139">
        <v>4124</v>
      </c>
      <c r="S100" s="139" t="s">
        <v>118</v>
      </c>
      <c r="U100" s="139" t="str">
        <f t="shared" si="21"/>
        <v>41</v>
      </c>
      <c r="V100" s="139" t="str">
        <f t="shared" si="22"/>
        <v>412</v>
      </c>
      <c r="X100" t="s">
        <v>2124</v>
      </c>
      <c r="Y100" t="s">
        <v>2125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43</v>
      </c>
      <c r="D101" s="144" t="str">
        <f t="shared" si="19"/>
        <v>Ostali prihodi za posebne namjene</v>
      </c>
      <c r="E101" s="149">
        <v>3132</v>
      </c>
      <c r="F101" s="144" t="str">
        <f t="shared" si="23"/>
        <v>Doprinosi za obvezno zdravstveno osiguranje</v>
      </c>
      <c r="G101" s="183" t="s">
        <v>188</v>
      </c>
      <c r="H101" s="144" t="s">
        <v>1381</v>
      </c>
      <c r="I101" s="182">
        <v>683612</v>
      </c>
      <c r="J101" s="182">
        <v>1081438.55</v>
      </c>
      <c r="K101" s="182">
        <f t="shared" si="13"/>
        <v>397826.55000000005</v>
      </c>
      <c r="M101" s="139" t="str">
        <f t="shared" si="15"/>
        <v>313</v>
      </c>
      <c r="N101" s="139" t="str">
        <f t="shared" si="16"/>
        <v>31</v>
      </c>
      <c r="R101" s="139">
        <v>4126</v>
      </c>
      <c r="S101" s="139" t="s">
        <v>162</v>
      </c>
      <c r="U101" s="139" t="str">
        <f t="shared" si="21"/>
        <v>41</v>
      </c>
      <c r="V101" s="139" t="str">
        <f t="shared" si="22"/>
        <v>412</v>
      </c>
      <c r="X101" t="s">
        <v>1835</v>
      </c>
      <c r="Y101" t="s">
        <v>1836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43</v>
      </c>
      <c r="D102" s="144" t="str">
        <f t="shared" si="19"/>
        <v>Ostali prihodi za posebne namjene</v>
      </c>
      <c r="E102" s="149">
        <v>3211</v>
      </c>
      <c r="F102" s="144" t="str">
        <f t="shared" si="23"/>
        <v>Službena putovanja</v>
      </c>
      <c r="G102" s="183" t="s">
        <v>188</v>
      </c>
      <c r="H102" s="144" t="s">
        <v>1381</v>
      </c>
      <c r="I102" s="182">
        <v>632033</v>
      </c>
      <c r="J102" s="182">
        <v>1450003.34</v>
      </c>
      <c r="K102" s="182">
        <f t="shared" si="13"/>
        <v>817970.34000000008</v>
      </c>
      <c r="M102" s="139" t="str">
        <f t="shared" si="15"/>
        <v>321</v>
      </c>
      <c r="N102" s="139" t="str">
        <f t="shared" si="16"/>
        <v>32</v>
      </c>
      <c r="R102" s="139">
        <v>4211</v>
      </c>
      <c r="S102" s="139" t="s">
        <v>176</v>
      </c>
      <c r="U102" s="139" t="str">
        <f t="shared" si="21"/>
        <v>42</v>
      </c>
      <c r="V102" s="139" t="str">
        <f t="shared" si="22"/>
        <v>421</v>
      </c>
      <c r="X102" t="s">
        <v>2126</v>
      </c>
      <c r="Y102" t="s">
        <v>2127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43</v>
      </c>
      <c r="D103" s="144" t="str">
        <f t="shared" si="19"/>
        <v>Ostali prihodi za posebne namjene</v>
      </c>
      <c r="E103" s="149">
        <v>3212</v>
      </c>
      <c r="F103" s="144" t="str">
        <f t="shared" si="23"/>
        <v>Naknade za prijevoz, za rad na terenu i odvojeni život</v>
      </c>
      <c r="G103" s="183" t="s">
        <v>188</v>
      </c>
      <c r="H103" s="144" t="s">
        <v>1381</v>
      </c>
      <c r="I103" s="182">
        <v>57573</v>
      </c>
      <c r="J103" s="182">
        <v>90415</v>
      </c>
      <c r="K103" s="182">
        <f t="shared" si="13"/>
        <v>32842</v>
      </c>
      <c r="M103" s="139" t="str">
        <f t="shared" si="15"/>
        <v>321</v>
      </c>
      <c r="N103" s="139" t="str">
        <f t="shared" si="16"/>
        <v>32</v>
      </c>
      <c r="R103" s="139">
        <v>4212</v>
      </c>
      <c r="S103" s="139" t="s">
        <v>64</v>
      </c>
      <c r="U103" s="139" t="str">
        <f t="shared" si="21"/>
        <v>42</v>
      </c>
      <c r="V103" s="139" t="str">
        <f t="shared" si="22"/>
        <v>421</v>
      </c>
      <c r="X103" t="s">
        <v>2128</v>
      </c>
      <c r="Y103" t="s">
        <v>2129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149">
        <v>43</v>
      </c>
      <c r="D104" s="144" t="str">
        <f t="shared" si="19"/>
        <v>Ostali prihodi za posebne namjene</v>
      </c>
      <c r="E104" s="149">
        <v>3213</v>
      </c>
      <c r="F104" s="144" t="str">
        <f t="shared" si="23"/>
        <v>Stručno usavršavanje zaposlenika</v>
      </c>
      <c r="G104" s="183" t="s">
        <v>188</v>
      </c>
      <c r="H104" s="144" t="s">
        <v>1381</v>
      </c>
      <c r="I104" s="182">
        <v>110601</v>
      </c>
      <c r="J104" s="182">
        <v>524652.28</v>
      </c>
      <c r="K104" s="182">
        <f t="shared" si="13"/>
        <v>414051.28</v>
      </c>
      <c r="M104" s="139" t="str">
        <f t="shared" si="15"/>
        <v>321</v>
      </c>
      <c r="N104" s="139" t="str">
        <f t="shared" si="16"/>
        <v>32</v>
      </c>
      <c r="R104" s="139">
        <v>4213</v>
      </c>
      <c r="S104" s="139" t="s">
        <v>163</v>
      </c>
      <c r="U104" s="139" t="str">
        <f t="shared" si="21"/>
        <v>42</v>
      </c>
      <c r="V104" s="139" t="str">
        <f t="shared" si="22"/>
        <v>421</v>
      </c>
      <c r="X104" t="s">
        <v>2130</v>
      </c>
      <c r="Y104" t="s">
        <v>2131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43</v>
      </c>
      <c r="D105" s="144" t="str">
        <f t="shared" si="19"/>
        <v>Ostali prihodi za posebne namjene</v>
      </c>
      <c r="E105" s="149">
        <v>3214</v>
      </c>
      <c r="F105" s="144" t="str">
        <f t="shared" si="23"/>
        <v>Ostale naknade troškova zaposlenima</v>
      </c>
      <c r="G105" s="183" t="s">
        <v>188</v>
      </c>
      <c r="H105" s="144" t="s">
        <v>1381</v>
      </c>
      <c r="I105" s="182">
        <v>24051</v>
      </c>
      <c r="J105" s="182">
        <v>24051</v>
      </c>
      <c r="K105" s="182">
        <f t="shared" si="13"/>
        <v>0</v>
      </c>
      <c r="M105" s="139" t="str">
        <f t="shared" si="15"/>
        <v>321</v>
      </c>
      <c r="N105" s="139" t="str">
        <f t="shared" si="16"/>
        <v>32</v>
      </c>
      <c r="R105" s="139">
        <v>4214</v>
      </c>
      <c r="S105" s="139" t="s">
        <v>164</v>
      </c>
      <c r="U105" s="139" t="str">
        <f t="shared" si="21"/>
        <v>42</v>
      </c>
      <c r="V105" s="139" t="str">
        <f t="shared" si="22"/>
        <v>421</v>
      </c>
      <c r="X105" t="s">
        <v>2132</v>
      </c>
      <c r="Y105" t="s">
        <v>2133</v>
      </c>
    </row>
    <row r="106" spans="1:25">
      <c r="A106" s="143" t="str">
        <f>IF(C106="","",VLOOKUP('Opći dio'!$C$3,'Opći dio'!$L$6:$U$137,10,FALSE))</f>
        <v>08006</v>
      </c>
      <c r="B106" s="143" t="str">
        <f>IF(C106="","",VLOOKUP('Opći dio'!$C$3,'Opći dio'!$L$6:$U$137,9,FALSE))</f>
        <v>Sveučilišta i veleučilišta u Republici Hrvatskoj</v>
      </c>
      <c r="C106" s="149">
        <v>43</v>
      </c>
      <c r="D106" s="144" t="str">
        <f t="shared" si="19"/>
        <v>Ostali prihodi za posebne namjene</v>
      </c>
      <c r="E106" s="149">
        <v>3221</v>
      </c>
      <c r="F106" s="144" t="str">
        <f t="shared" si="23"/>
        <v>Uredski materijal i ostali materijalni rashodi</v>
      </c>
      <c r="G106" s="183" t="s">
        <v>188</v>
      </c>
      <c r="H106" s="144" t="s">
        <v>1381</v>
      </c>
      <c r="I106" s="182">
        <v>277515</v>
      </c>
      <c r="J106" s="182">
        <v>336015</v>
      </c>
      <c r="K106" s="182">
        <f t="shared" si="13"/>
        <v>58500</v>
      </c>
      <c r="M106" s="139" t="str">
        <f t="shared" si="15"/>
        <v>322</v>
      </c>
      <c r="N106" s="139" t="str">
        <f t="shared" si="16"/>
        <v>32</v>
      </c>
      <c r="R106" s="139">
        <v>4221</v>
      </c>
      <c r="S106" s="139" t="s">
        <v>99</v>
      </c>
      <c r="U106" s="139" t="str">
        <f t="shared" si="21"/>
        <v>42</v>
      </c>
      <c r="V106" s="139" t="str">
        <f t="shared" si="22"/>
        <v>422</v>
      </c>
      <c r="X106" t="s">
        <v>2134</v>
      </c>
      <c r="Y106" t="s">
        <v>2135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149">
        <v>43</v>
      </c>
      <c r="D107" s="144" t="str">
        <f t="shared" si="19"/>
        <v>Ostali prihodi za posebne namjene</v>
      </c>
      <c r="E107" s="149">
        <v>3222</v>
      </c>
      <c r="F107" s="144" t="str">
        <f t="shared" si="23"/>
        <v>Materijal i sirovine</v>
      </c>
      <c r="G107" s="183" t="s">
        <v>188</v>
      </c>
      <c r="H107" s="144" t="s">
        <v>1381</v>
      </c>
      <c r="I107" s="182">
        <v>2863</v>
      </c>
      <c r="J107" s="182">
        <v>2863</v>
      </c>
      <c r="K107" s="182">
        <f t="shared" si="13"/>
        <v>0</v>
      </c>
      <c r="M107" s="139" t="str">
        <f t="shared" si="15"/>
        <v>322</v>
      </c>
      <c r="N107" s="139" t="str">
        <f t="shared" si="16"/>
        <v>32</v>
      </c>
      <c r="R107" s="139">
        <v>4222</v>
      </c>
      <c r="S107" s="139" t="s">
        <v>110</v>
      </c>
      <c r="U107" s="139" t="str">
        <f t="shared" si="21"/>
        <v>42</v>
      </c>
      <c r="V107" s="139" t="str">
        <f t="shared" si="22"/>
        <v>422</v>
      </c>
      <c r="X107" t="s">
        <v>2136</v>
      </c>
      <c r="Y107" t="s">
        <v>2137</v>
      </c>
    </row>
    <row r="108" spans="1:25">
      <c r="A108" s="143" t="str">
        <f>IF(C108="","",VLOOKUP('Opći dio'!$C$3,'Opći dio'!$L$6:$U$137,10,FALSE))</f>
        <v>08006</v>
      </c>
      <c r="B108" s="143" t="str">
        <f>IF(C108="","",VLOOKUP('Opći dio'!$C$3,'Opći dio'!$L$6:$U$137,9,FALSE))</f>
        <v>Sveučilišta i veleučilišta u Republici Hrvatskoj</v>
      </c>
      <c r="C108" s="149">
        <v>43</v>
      </c>
      <c r="D108" s="144" t="str">
        <f t="shared" si="19"/>
        <v>Ostali prihodi za posebne namjene</v>
      </c>
      <c r="E108" s="149">
        <v>3223</v>
      </c>
      <c r="F108" s="144" t="str">
        <f t="shared" si="23"/>
        <v>Energija</v>
      </c>
      <c r="G108" s="183" t="s">
        <v>188</v>
      </c>
      <c r="H108" s="144" t="s">
        <v>1381</v>
      </c>
      <c r="I108" s="182">
        <v>46345</v>
      </c>
      <c r="J108" s="182">
        <v>71545</v>
      </c>
      <c r="K108" s="182">
        <f t="shared" si="13"/>
        <v>25200</v>
      </c>
      <c r="M108" s="139" t="str">
        <f t="shared" si="15"/>
        <v>322</v>
      </c>
      <c r="N108" s="139" t="str">
        <f t="shared" si="16"/>
        <v>32</v>
      </c>
      <c r="R108" s="139">
        <v>4223</v>
      </c>
      <c r="S108" s="139" t="s">
        <v>123</v>
      </c>
      <c r="U108" s="139" t="str">
        <f t="shared" si="21"/>
        <v>42</v>
      </c>
      <c r="V108" s="139" t="str">
        <f t="shared" si="22"/>
        <v>422</v>
      </c>
      <c r="X108" t="s">
        <v>2138</v>
      </c>
      <c r="Y108" t="s">
        <v>2139</v>
      </c>
    </row>
    <row r="109" spans="1:25">
      <c r="A109" s="143" t="str">
        <f>IF(C109="","",VLOOKUP('Opći dio'!$C$3,'Opći dio'!$L$6:$U$137,10,FALSE))</f>
        <v>08006</v>
      </c>
      <c r="B109" s="143" t="str">
        <f>IF(C109="","",VLOOKUP('Opći dio'!$C$3,'Opći dio'!$L$6:$U$137,9,FALSE))</f>
        <v>Sveučilišta i veleučilišta u Republici Hrvatskoj</v>
      </c>
      <c r="C109" s="149">
        <v>43</v>
      </c>
      <c r="D109" s="144" t="str">
        <f t="shared" si="19"/>
        <v>Ostali prihodi za posebne namjene</v>
      </c>
      <c r="E109" s="149">
        <v>3224</v>
      </c>
      <c r="F109" s="144" t="str">
        <f t="shared" si="23"/>
        <v>Materijal i dijelovi za tekuće i investicijsko održavanje</v>
      </c>
      <c r="G109" s="183" t="s">
        <v>188</v>
      </c>
      <c r="H109" s="144" t="s">
        <v>1381</v>
      </c>
      <c r="I109" s="182">
        <v>9427</v>
      </c>
      <c r="J109" s="182">
        <v>9427</v>
      </c>
      <c r="K109" s="182">
        <f t="shared" si="13"/>
        <v>0</v>
      </c>
      <c r="M109" s="139" t="str">
        <f t="shared" si="15"/>
        <v>322</v>
      </c>
      <c r="N109" s="139" t="str">
        <f t="shared" si="16"/>
        <v>32</v>
      </c>
      <c r="R109" s="139">
        <v>4224</v>
      </c>
      <c r="S109" s="139" t="s">
        <v>116</v>
      </c>
      <c r="U109" s="139" t="str">
        <f t="shared" si="21"/>
        <v>42</v>
      </c>
      <c r="V109" s="139" t="str">
        <f t="shared" si="22"/>
        <v>422</v>
      </c>
      <c r="X109" t="s">
        <v>2140</v>
      </c>
      <c r="Y109" t="s">
        <v>2141</v>
      </c>
    </row>
    <row r="110" spans="1:25">
      <c r="A110" s="143" t="str">
        <f>IF(C110="","",VLOOKUP('Opći dio'!$C$3,'Opći dio'!$L$6:$U$137,10,FALSE))</f>
        <v>08006</v>
      </c>
      <c r="B110" s="143" t="str">
        <f>IF(C110="","",VLOOKUP('Opći dio'!$C$3,'Opći dio'!$L$6:$U$137,9,FALSE))</f>
        <v>Sveučilišta i veleučilišta u Republici Hrvatskoj</v>
      </c>
      <c r="C110" s="149">
        <v>43</v>
      </c>
      <c r="D110" s="144" t="str">
        <f t="shared" si="19"/>
        <v>Ostali prihodi za posebne namjene</v>
      </c>
      <c r="E110" s="149">
        <v>3225</v>
      </c>
      <c r="F110" s="144" t="str">
        <f t="shared" si="23"/>
        <v>Sitni inventar i auto gume</v>
      </c>
      <c r="G110" s="183" t="s">
        <v>188</v>
      </c>
      <c r="H110" s="144" t="s">
        <v>1381</v>
      </c>
      <c r="I110" s="182">
        <v>14801</v>
      </c>
      <c r="J110" s="182">
        <v>38062.61</v>
      </c>
      <c r="K110" s="182">
        <f t="shared" si="13"/>
        <v>23261.61</v>
      </c>
      <c r="M110" s="139" t="str">
        <f t="shared" si="15"/>
        <v>322</v>
      </c>
      <c r="N110" s="139" t="str">
        <f t="shared" si="16"/>
        <v>32</v>
      </c>
      <c r="R110" s="139">
        <v>4225</v>
      </c>
      <c r="S110" s="139" t="s">
        <v>120</v>
      </c>
      <c r="U110" s="139" t="str">
        <f t="shared" si="21"/>
        <v>42</v>
      </c>
      <c r="V110" s="139" t="str">
        <f t="shared" si="22"/>
        <v>422</v>
      </c>
      <c r="X110" t="s">
        <v>1837</v>
      </c>
      <c r="Y110" t="s">
        <v>1838</v>
      </c>
    </row>
    <row r="111" spans="1:25">
      <c r="A111" s="143" t="str">
        <f>IF(C111="","",VLOOKUP('Opći dio'!$C$3,'Opći dio'!$L$6:$U$137,10,FALSE))</f>
        <v>08006</v>
      </c>
      <c r="B111" s="143" t="str">
        <f>IF(C111="","",VLOOKUP('Opći dio'!$C$3,'Opći dio'!$L$6:$U$137,9,FALSE))</f>
        <v>Sveučilišta i veleučilišta u Republici Hrvatskoj</v>
      </c>
      <c r="C111" s="149">
        <v>43</v>
      </c>
      <c r="D111" s="144" t="str">
        <f t="shared" si="19"/>
        <v>Ostali prihodi za posebne namjene</v>
      </c>
      <c r="E111" s="149">
        <v>3227</v>
      </c>
      <c r="F111" s="144" t="str">
        <f t="shared" si="23"/>
        <v>Službena, radna i zaštitna odjeća i obuća</v>
      </c>
      <c r="G111" s="183" t="s">
        <v>188</v>
      </c>
      <c r="H111" s="144" t="s">
        <v>1381</v>
      </c>
      <c r="I111" s="182">
        <v>12951</v>
      </c>
      <c r="J111" s="182">
        <v>20431.400000000001</v>
      </c>
      <c r="K111" s="182">
        <f t="shared" si="13"/>
        <v>7480.4000000000015</v>
      </c>
      <c r="M111" s="139" t="str">
        <f t="shared" si="15"/>
        <v>322</v>
      </c>
      <c r="N111" s="139" t="str">
        <f t="shared" si="16"/>
        <v>32</v>
      </c>
      <c r="R111" s="139">
        <v>4226</v>
      </c>
      <c r="S111" s="139" t="s">
        <v>165</v>
      </c>
      <c r="U111" s="139" t="str">
        <f t="shared" si="21"/>
        <v>42</v>
      </c>
      <c r="V111" s="139" t="str">
        <f t="shared" si="22"/>
        <v>422</v>
      </c>
      <c r="X111" t="s">
        <v>2142</v>
      </c>
      <c r="Y111" t="s">
        <v>2143</v>
      </c>
    </row>
    <row r="112" spans="1:25">
      <c r="A112" s="143" t="str">
        <f>IF(C112="","",VLOOKUP('Opći dio'!$C$3,'Opći dio'!$L$6:$U$137,10,FALSE))</f>
        <v>08006</v>
      </c>
      <c r="B112" s="143" t="str">
        <f>IF(C112="","",VLOOKUP('Opći dio'!$C$3,'Opći dio'!$L$6:$U$137,9,FALSE))</f>
        <v>Sveučilišta i veleučilišta u Republici Hrvatskoj</v>
      </c>
      <c r="C112" s="149">
        <v>43</v>
      </c>
      <c r="D112" s="144" t="str">
        <f t="shared" si="19"/>
        <v>Ostali prihodi za posebne namjene</v>
      </c>
      <c r="E112" s="149">
        <v>3231</v>
      </c>
      <c r="F112" s="144" t="str">
        <f t="shared" si="23"/>
        <v>Usluge telefona, pošte i prijevoza</v>
      </c>
      <c r="G112" s="183" t="s">
        <v>188</v>
      </c>
      <c r="H112" s="144" t="s">
        <v>1381</v>
      </c>
      <c r="I112" s="182">
        <v>236108</v>
      </c>
      <c r="J112" s="182">
        <v>236108</v>
      </c>
      <c r="K112" s="182">
        <f t="shared" si="13"/>
        <v>0</v>
      </c>
      <c r="M112" s="139" t="str">
        <f t="shared" si="15"/>
        <v>323</v>
      </c>
      <c r="N112" s="139" t="str">
        <f t="shared" si="16"/>
        <v>32</v>
      </c>
      <c r="R112" s="139">
        <v>4227</v>
      </c>
      <c r="S112" s="139" t="s">
        <v>133</v>
      </c>
      <c r="U112" s="139" t="str">
        <f t="shared" si="21"/>
        <v>42</v>
      </c>
      <c r="V112" s="139" t="str">
        <f t="shared" si="22"/>
        <v>422</v>
      </c>
      <c r="X112" t="s">
        <v>1839</v>
      </c>
      <c r="Y112" t="s">
        <v>1840</v>
      </c>
    </row>
    <row r="113" spans="1:25">
      <c r="A113" s="143" t="str">
        <f>IF(C113="","",VLOOKUP('Opći dio'!$C$3,'Opći dio'!$L$6:$U$137,10,FALSE))</f>
        <v>08006</v>
      </c>
      <c r="B113" s="143" t="str">
        <f>IF(C113="","",VLOOKUP('Opći dio'!$C$3,'Opći dio'!$L$6:$U$137,9,FALSE))</f>
        <v>Sveučilišta i veleučilišta u Republici Hrvatskoj</v>
      </c>
      <c r="C113" s="149">
        <v>43</v>
      </c>
      <c r="D113" s="144" t="str">
        <f t="shared" si="19"/>
        <v>Ostali prihodi za posebne namjene</v>
      </c>
      <c r="E113" s="149">
        <v>3232</v>
      </c>
      <c r="F113" s="144" t="str">
        <f t="shared" si="23"/>
        <v>Usluge tekućeg i investicijskog održavanja</v>
      </c>
      <c r="G113" s="183" t="s">
        <v>188</v>
      </c>
      <c r="H113" s="144" t="s">
        <v>1381</v>
      </c>
      <c r="I113" s="182">
        <v>162104</v>
      </c>
      <c r="J113" s="182">
        <v>162104</v>
      </c>
      <c r="K113" s="182">
        <f t="shared" si="13"/>
        <v>0</v>
      </c>
      <c r="M113" s="139" t="str">
        <f t="shared" si="15"/>
        <v>323</v>
      </c>
      <c r="N113" s="139" t="str">
        <f t="shared" si="16"/>
        <v>32</v>
      </c>
      <c r="R113" s="139">
        <v>4231</v>
      </c>
      <c r="S113" s="139" t="s">
        <v>166</v>
      </c>
      <c r="U113" s="139" t="str">
        <f t="shared" si="21"/>
        <v>42</v>
      </c>
      <c r="V113" s="139" t="str">
        <f t="shared" si="22"/>
        <v>423</v>
      </c>
      <c r="X113" t="s">
        <v>1081</v>
      </c>
      <c r="Y113" t="s">
        <v>1082</v>
      </c>
    </row>
    <row r="114" spans="1:25">
      <c r="A114" s="143" t="str">
        <f>IF(C114="","",VLOOKUP('Opći dio'!$C$3,'Opći dio'!$L$6:$U$137,10,FALSE))</f>
        <v>08006</v>
      </c>
      <c r="B114" s="143" t="str">
        <f>IF(C114="","",VLOOKUP('Opći dio'!$C$3,'Opći dio'!$L$6:$U$137,9,FALSE))</f>
        <v>Sveučilišta i veleučilišta u Republici Hrvatskoj</v>
      </c>
      <c r="C114" s="149">
        <v>43</v>
      </c>
      <c r="D114" s="144" t="str">
        <f t="shared" si="19"/>
        <v>Ostali prihodi za posebne namjene</v>
      </c>
      <c r="E114" s="149">
        <v>3233</v>
      </c>
      <c r="F114" s="144" t="str">
        <f t="shared" si="23"/>
        <v>Usluge promidžbe i informiranja</v>
      </c>
      <c r="G114" s="183" t="s">
        <v>188</v>
      </c>
      <c r="H114" s="144" t="s">
        <v>1381</v>
      </c>
      <c r="I114" s="182">
        <v>59990</v>
      </c>
      <c r="J114" s="182">
        <v>59990</v>
      </c>
      <c r="K114" s="182">
        <f t="shared" si="13"/>
        <v>0</v>
      </c>
      <c r="M114" s="139" t="str">
        <f t="shared" si="15"/>
        <v>323</v>
      </c>
      <c r="N114" s="139" t="str">
        <f t="shared" si="16"/>
        <v>32</v>
      </c>
      <c r="R114" s="139">
        <v>4233</v>
      </c>
      <c r="S114" s="139" t="s">
        <v>174</v>
      </c>
      <c r="U114" s="139" t="str">
        <f t="shared" ref="U114:U144" si="24">LEFT(R114,2)</f>
        <v>42</v>
      </c>
      <c r="V114" s="139" t="str">
        <f t="shared" si="22"/>
        <v>423</v>
      </c>
      <c r="X114" t="s">
        <v>1072</v>
      </c>
      <c r="Y114" t="s">
        <v>1073</v>
      </c>
    </row>
    <row r="115" spans="1:25">
      <c r="A115" s="143" t="str">
        <f>IF(C115="","",VLOOKUP('Opći dio'!$C$3,'Opći dio'!$L$6:$U$137,10,FALSE))</f>
        <v>08006</v>
      </c>
      <c r="B115" s="143" t="str">
        <f>IF(C115="","",VLOOKUP('Opći dio'!$C$3,'Opći dio'!$L$6:$U$137,9,FALSE))</f>
        <v>Sveučilišta i veleučilišta u Republici Hrvatskoj</v>
      </c>
      <c r="C115" s="149">
        <v>43</v>
      </c>
      <c r="D115" s="144" t="str">
        <f t="shared" si="19"/>
        <v>Ostali prihodi za posebne namjene</v>
      </c>
      <c r="E115" s="149">
        <v>3234</v>
      </c>
      <c r="F115" s="144" t="str">
        <f t="shared" si="23"/>
        <v>Komunalne usluge</v>
      </c>
      <c r="G115" s="183" t="s">
        <v>188</v>
      </c>
      <c r="H115" s="144" t="s">
        <v>1381</v>
      </c>
      <c r="I115" s="182">
        <v>46253</v>
      </c>
      <c r="J115" s="182">
        <v>244782.83000000002</v>
      </c>
      <c r="K115" s="182">
        <f t="shared" si="13"/>
        <v>198529.83000000002</v>
      </c>
      <c r="M115" s="139" t="str">
        <f t="shared" si="15"/>
        <v>323</v>
      </c>
      <c r="N115" s="139" t="str">
        <f t="shared" si="16"/>
        <v>32</v>
      </c>
      <c r="R115" s="139">
        <v>4241</v>
      </c>
      <c r="S115" s="139" t="s">
        <v>111</v>
      </c>
      <c r="U115" s="139" t="str">
        <f t="shared" si="24"/>
        <v>42</v>
      </c>
      <c r="V115" s="139" t="str">
        <f t="shared" si="22"/>
        <v>424</v>
      </c>
      <c r="X115" t="s">
        <v>1841</v>
      </c>
      <c r="Y115" t="s">
        <v>1842</v>
      </c>
    </row>
    <row r="116" spans="1:25">
      <c r="A116" s="143" t="str">
        <f>IF(C116="","",VLOOKUP('Opći dio'!$C$3,'Opći dio'!$L$6:$U$137,10,FALSE))</f>
        <v>08006</v>
      </c>
      <c r="B116" s="143" t="str">
        <f>IF(C116="","",VLOOKUP('Opći dio'!$C$3,'Opći dio'!$L$6:$U$137,9,FALSE))</f>
        <v>Sveučilišta i veleučilišta u Republici Hrvatskoj</v>
      </c>
      <c r="C116" s="149">
        <v>43</v>
      </c>
      <c r="D116" s="144" t="str">
        <f t="shared" si="19"/>
        <v>Ostali prihodi za posebne namjene</v>
      </c>
      <c r="E116" s="149">
        <v>3235</v>
      </c>
      <c r="F116" s="144" t="str">
        <f t="shared" si="23"/>
        <v>Zakupnine i najamnine</v>
      </c>
      <c r="G116" s="183" t="s">
        <v>188</v>
      </c>
      <c r="H116" s="144" t="s">
        <v>1381</v>
      </c>
      <c r="I116" s="182">
        <v>125278</v>
      </c>
      <c r="J116" s="182">
        <v>128578</v>
      </c>
      <c r="K116" s="182">
        <f t="shared" si="13"/>
        <v>3300</v>
      </c>
      <c r="M116" s="139" t="str">
        <f t="shared" si="15"/>
        <v>323</v>
      </c>
      <c r="N116" s="139" t="str">
        <f t="shared" si="16"/>
        <v>32</v>
      </c>
      <c r="R116" s="139">
        <v>4242</v>
      </c>
      <c r="S116" s="139" t="s">
        <v>143</v>
      </c>
      <c r="U116" s="139" t="str">
        <f t="shared" si="24"/>
        <v>42</v>
      </c>
      <c r="V116" s="139" t="str">
        <f t="shared" si="22"/>
        <v>424</v>
      </c>
      <c r="X116" t="s">
        <v>1895</v>
      </c>
      <c r="Y116" t="s">
        <v>1896</v>
      </c>
    </row>
    <row r="117" spans="1:25">
      <c r="A117" s="143" t="str">
        <f>IF(C117="","",VLOOKUP('Opći dio'!$C$3,'Opći dio'!$L$6:$U$137,10,FALSE))</f>
        <v>08006</v>
      </c>
      <c r="B117" s="143" t="str">
        <f>IF(C117="","",VLOOKUP('Opći dio'!$C$3,'Opći dio'!$L$6:$U$137,9,FALSE))</f>
        <v>Sveučilišta i veleučilišta u Republici Hrvatskoj</v>
      </c>
      <c r="C117" s="149">
        <v>43</v>
      </c>
      <c r="D117" s="144" t="str">
        <f t="shared" si="19"/>
        <v>Ostali prihodi za posebne namjene</v>
      </c>
      <c r="E117" s="149">
        <v>3236</v>
      </c>
      <c r="F117" s="144" t="str">
        <f t="shared" si="23"/>
        <v>Zdravstvene i veterinarske usluge</v>
      </c>
      <c r="G117" s="183" t="s">
        <v>188</v>
      </c>
      <c r="H117" s="144" t="s">
        <v>1381</v>
      </c>
      <c r="I117" s="182">
        <v>63608</v>
      </c>
      <c r="J117" s="182">
        <v>63608</v>
      </c>
      <c r="K117" s="182">
        <f t="shared" si="13"/>
        <v>0</v>
      </c>
      <c r="M117" s="139" t="str">
        <f t="shared" si="15"/>
        <v>323</v>
      </c>
      <c r="N117" s="139" t="str">
        <f t="shared" si="16"/>
        <v>32</v>
      </c>
      <c r="R117" s="139">
        <v>4244</v>
      </c>
      <c r="S117" s="139" t="s">
        <v>175</v>
      </c>
      <c r="U117" s="139" t="str">
        <f t="shared" si="24"/>
        <v>42</v>
      </c>
      <c r="V117" s="139" t="str">
        <f t="shared" si="22"/>
        <v>424</v>
      </c>
      <c r="X117" t="s">
        <v>2144</v>
      </c>
      <c r="Y117" t="s">
        <v>2145</v>
      </c>
    </row>
    <row r="118" spans="1:25">
      <c r="A118" s="143" t="str">
        <f>IF(C118="","",VLOOKUP('Opći dio'!$C$3,'Opći dio'!$L$6:$U$137,10,FALSE))</f>
        <v>08006</v>
      </c>
      <c r="B118" s="143" t="str">
        <f>IF(C118="","",VLOOKUP('Opći dio'!$C$3,'Opći dio'!$L$6:$U$137,9,FALSE))</f>
        <v>Sveučilišta i veleučilišta u Republici Hrvatskoj</v>
      </c>
      <c r="C118" s="149">
        <v>43</v>
      </c>
      <c r="D118" s="144" t="str">
        <f t="shared" si="19"/>
        <v>Ostali prihodi za posebne namjene</v>
      </c>
      <c r="E118" s="149">
        <v>3237</v>
      </c>
      <c r="F118" s="144" t="str">
        <f t="shared" si="23"/>
        <v>Intelektualne i osobne usluge</v>
      </c>
      <c r="G118" s="183" t="s">
        <v>188</v>
      </c>
      <c r="H118" s="144" t="s">
        <v>1381</v>
      </c>
      <c r="I118" s="182">
        <v>1366079</v>
      </c>
      <c r="J118" s="182">
        <v>1973467.65</v>
      </c>
      <c r="K118" s="182">
        <f t="shared" si="13"/>
        <v>607388.64999999991</v>
      </c>
      <c r="M118" s="139" t="str">
        <f t="shared" si="15"/>
        <v>323</v>
      </c>
      <c r="N118" s="139" t="str">
        <f t="shared" si="16"/>
        <v>32</v>
      </c>
      <c r="R118" s="139">
        <v>4251</v>
      </c>
      <c r="S118" s="139" t="s">
        <v>167</v>
      </c>
      <c r="U118" s="139" t="str">
        <f t="shared" si="24"/>
        <v>42</v>
      </c>
      <c r="V118" s="139" t="str">
        <f t="shared" si="22"/>
        <v>425</v>
      </c>
      <c r="X118" t="s">
        <v>2146</v>
      </c>
      <c r="Y118" t="s">
        <v>2147</v>
      </c>
    </row>
    <row r="119" spans="1:25">
      <c r="A119" s="143" t="str">
        <f>IF(C119="","",VLOOKUP('Opći dio'!$C$3,'Opći dio'!$L$6:$U$137,10,FALSE))</f>
        <v>08006</v>
      </c>
      <c r="B119" s="143" t="str">
        <f>IF(C119="","",VLOOKUP('Opći dio'!$C$3,'Opći dio'!$L$6:$U$137,9,FALSE))</f>
        <v>Sveučilišta i veleučilišta u Republici Hrvatskoj</v>
      </c>
      <c r="C119" s="149">
        <v>43</v>
      </c>
      <c r="D119" s="144" t="str">
        <f t="shared" si="19"/>
        <v>Ostali prihodi za posebne namjene</v>
      </c>
      <c r="E119" s="149">
        <v>3238</v>
      </c>
      <c r="F119" s="144" t="str">
        <f t="shared" si="23"/>
        <v>Računalne usluge</v>
      </c>
      <c r="G119" s="183" t="s">
        <v>188</v>
      </c>
      <c r="H119" s="144" t="s">
        <v>1381</v>
      </c>
      <c r="I119" s="182">
        <v>35240</v>
      </c>
      <c r="J119" s="182">
        <v>63443.350000000006</v>
      </c>
      <c r="K119" s="182">
        <f t="shared" si="13"/>
        <v>28203.350000000006</v>
      </c>
      <c r="M119" s="139" t="str">
        <f t="shared" si="15"/>
        <v>323</v>
      </c>
      <c r="N119" s="139" t="str">
        <f t="shared" si="16"/>
        <v>32</v>
      </c>
      <c r="R119" s="139">
        <v>4252</v>
      </c>
      <c r="S119" s="139" t="s">
        <v>168</v>
      </c>
      <c r="U119" s="139" t="str">
        <f t="shared" si="24"/>
        <v>42</v>
      </c>
      <c r="V119" s="139" t="str">
        <f t="shared" si="22"/>
        <v>425</v>
      </c>
      <c r="X119" t="s">
        <v>2148</v>
      </c>
      <c r="Y119" t="s">
        <v>2149</v>
      </c>
    </row>
    <row r="120" spans="1:25">
      <c r="A120" s="143" t="str">
        <f>IF(C120="","",VLOOKUP('Opći dio'!$C$3,'Opći dio'!$L$6:$U$137,10,FALSE))</f>
        <v>08006</v>
      </c>
      <c r="B120" s="143" t="str">
        <f>IF(C120="","",VLOOKUP('Opći dio'!$C$3,'Opći dio'!$L$6:$U$137,9,FALSE))</f>
        <v>Sveučilišta i veleučilišta u Republici Hrvatskoj</v>
      </c>
      <c r="C120" s="149">
        <v>43</v>
      </c>
      <c r="D120" s="144" t="str">
        <f t="shared" si="19"/>
        <v>Ostali prihodi za posebne namjene</v>
      </c>
      <c r="E120" s="149">
        <v>3239</v>
      </c>
      <c r="F120" s="144" t="str">
        <f t="shared" si="23"/>
        <v>Ostale usluge</v>
      </c>
      <c r="G120" s="183" t="s">
        <v>188</v>
      </c>
      <c r="H120" s="144" t="s">
        <v>1381</v>
      </c>
      <c r="I120" s="182">
        <v>526574</v>
      </c>
      <c r="J120" s="182">
        <v>1296264.05</v>
      </c>
      <c r="K120" s="182">
        <f t="shared" si="13"/>
        <v>769690.05</v>
      </c>
      <c r="M120" s="139" t="str">
        <f t="shared" si="15"/>
        <v>323</v>
      </c>
      <c r="N120" s="139" t="str">
        <f t="shared" si="16"/>
        <v>32</v>
      </c>
      <c r="R120" s="139">
        <v>4262</v>
      </c>
      <c r="S120" s="139" t="s">
        <v>112</v>
      </c>
      <c r="U120" s="139" t="str">
        <f t="shared" si="24"/>
        <v>42</v>
      </c>
      <c r="V120" s="139" t="str">
        <f t="shared" si="22"/>
        <v>426</v>
      </c>
      <c r="X120" t="s">
        <v>2150</v>
      </c>
      <c r="Y120" t="s">
        <v>2151</v>
      </c>
    </row>
    <row r="121" spans="1:25">
      <c r="A121" s="143" t="str">
        <f>IF(C121="","",VLOOKUP('Opći dio'!$C$3,'Opći dio'!$L$6:$U$137,10,FALSE))</f>
        <v>08006</v>
      </c>
      <c r="B121" s="143" t="str">
        <f>IF(C121="","",VLOOKUP('Opći dio'!$C$3,'Opći dio'!$L$6:$U$137,9,FALSE))</f>
        <v>Sveučilišta i veleučilišta u Republici Hrvatskoj</v>
      </c>
      <c r="C121" s="149">
        <v>43</v>
      </c>
      <c r="D121" s="144" t="str">
        <f t="shared" ref="D121:D160" si="25">IFERROR(VLOOKUP(C121,$O$6:$P$23,2,FALSE),"")</f>
        <v>Ostali prihodi za posebne namjene</v>
      </c>
      <c r="E121" s="149">
        <v>3241</v>
      </c>
      <c r="F121" s="144" t="str">
        <f t="shared" si="23"/>
        <v>Naknade troškova osobama izvan radnog odnosa</v>
      </c>
      <c r="G121" s="183" t="s">
        <v>188</v>
      </c>
      <c r="H121" s="144" t="s">
        <v>1381</v>
      </c>
      <c r="I121" s="182">
        <v>693788</v>
      </c>
      <c r="J121" s="182">
        <v>693788</v>
      </c>
      <c r="K121" s="182">
        <f t="shared" si="13"/>
        <v>0</v>
      </c>
      <c r="M121" s="139" t="str">
        <f t="shared" si="15"/>
        <v>324</v>
      </c>
      <c r="N121" s="139" t="str">
        <f t="shared" si="16"/>
        <v>32</v>
      </c>
      <c r="R121" s="139">
        <v>4263</v>
      </c>
      <c r="S121" s="139" t="s">
        <v>169</v>
      </c>
      <c r="U121" s="139" t="str">
        <f t="shared" si="24"/>
        <v>42</v>
      </c>
      <c r="V121" s="139" t="str">
        <f t="shared" si="22"/>
        <v>426</v>
      </c>
      <c r="X121" t="s">
        <v>1843</v>
      </c>
      <c r="Y121" t="s">
        <v>1844</v>
      </c>
    </row>
    <row r="122" spans="1:25">
      <c r="A122" s="143" t="str">
        <f>IF(C122="","",VLOOKUP('Opći dio'!$C$3,'Opći dio'!$L$6:$U$137,10,FALSE))</f>
        <v>08006</v>
      </c>
      <c r="B122" s="143" t="str">
        <f>IF(C122="","",VLOOKUP('Opći dio'!$C$3,'Opći dio'!$L$6:$U$137,9,FALSE))</f>
        <v>Sveučilišta i veleučilišta u Republici Hrvatskoj</v>
      </c>
      <c r="C122" s="149">
        <v>43</v>
      </c>
      <c r="D122" s="144" t="str">
        <f t="shared" si="25"/>
        <v>Ostali prihodi za posebne namjene</v>
      </c>
      <c r="E122" s="149">
        <v>3291</v>
      </c>
      <c r="F122" s="144" t="str">
        <f t="shared" si="23"/>
        <v>Naknade za rad predstavničkih i izvršnih tijela, povjerensta</v>
      </c>
      <c r="G122" s="183" t="s">
        <v>188</v>
      </c>
      <c r="H122" s="144" t="s">
        <v>1381</v>
      </c>
      <c r="I122" s="182">
        <v>185010</v>
      </c>
      <c r="J122" s="182">
        <v>185010</v>
      </c>
      <c r="K122" s="182">
        <f t="shared" si="13"/>
        <v>0</v>
      </c>
      <c r="M122" s="139" t="str">
        <f t="shared" si="15"/>
        <v>329</v>
      </c>
      <c r="N122" s="139" t="str">
        <f t="shared" si="16"/>
        <v>32</v>
      </c>
      <c r="R122" s="139">
        <v>4264</v>
      </c>
      <c r="S122" s="139" t="s">
        <v>124</v>
      </c>
      <c r="U122" s="139" t="str">
        <f t="shared" si="24"/>
        <v>42</v>
      </c>
      <c r="V122" s="139" t="str">
        <f t="shared" si="22"/>
        <v>426</v>
      </c>
      <c r="X122" t="s">
        <v>1903</v>
      </c>
      <c r="Y122" t="s">
        <v>2152</v>
      </c>
    </row>
    <row r="123" spans="1:25">
      <c r="A123" s="143" t="str">
        <f>IF(C123="","",VLOOKUP('Opći dio'!$C$3,'Opći dio'!$L$6:$U$137,10,FALSE))</f>
        <v>08006</v>
      </c>
      <c r="B123" s="143" t="str">
        <f>IF(C123="","",VLOOKUP('Opći dio'!$C$3,'Opći dio'!$L$6:$U$137,9,FALSE))</f>
        <v>Sveučilišta i veleučilišta u Republici Hrvatskoj</v>
      </c>
      <c r="C123" s="149">
        <v>43</v>
      </c>
      <c r="D123" s="144" t="str">
        <f t="shared" si="25"/>
        <v>Ostali prihodi za posebne namjene</v>
      </c>
      <c r="E123" s="149">
        <v>3292</v>
      </c>
      <c r="F123" s="144" t="str">
        <f t="shared" si="23"/>
        <v>Premije osiguranja</v>
      </c>
      <c r="G123" s="183" t="s">
        <v>188</v>
      </c>
      <c r="H123" s="144" t="s">
        <v>1381</v>
      </c>
      <c r="I123" s="182">
        <v>388521</v>
      </c>
      <c r="J123" s="182">
        <v>8022</v>
      </c>
      <c r="K123" s="182">
        <f t="shared" si="13"/>
        <v>-380499</v>
      </c>
      <c r="M123" s="139" t="str">
        <f t="shared" si="15"/>
        <v>329</v>
      </c>
      <c r="N123" s="139" t="str">
        <f t="shared" si="16"/>
        <v>32</v>
      </c>
      <c r="R123" s="139">
        <v>4312</v>
      </c>
      <c r="S123" s="139" t="s">
        <v>126</v>
      </c>
      <c r="U123" s="139" t="str">
        <f t="shared" si="24"/>
        <v>43</v>
      </c>
      <c r="V123" s="139" t="str">
        <f t="shared" si="22"/>
        <v>431</v>
      </c>
      <c r="X123" t="s">
        <v>2153</v>
      </c>
      <c r="Y123" t="s">
        <v>2154</v>
      </c>
    </row>
    <row r="124" spans="1:25">
      <c r="A124" s="143" t="str">
        <f>IF(C124="","",VLOOKUP('Opći dio'!$C$3,'Opći dio'!$L$6:$U$137,10,FALSE))</f>
        <v>08006</v>
      </c>
      <c r="B124" s="143" t="str">
        <f>IF(C124="","",VLOOKUP('Opći dio'!$C$3,'Opći dio'!$L$6:$U$137,9,FALSE))</f>
        <v>Sveučilišta i veleučilišta u Republici Hrvatskoj</v>
      </c>
      <c r="C124" s="149">
        <v>43</v>
      </c>
      <c r="D124" s="144" t="str">
        <f t="shared" si="25"/>
        <v>Ostali prihodi za posebne namjene</v>
      </c>
      <c r="E124" s="149">
        <v>3293</v>
      </c>
      <c r="F124" s="144" t="str">
        <f t="shared" si="23"/>
        <v>Reprezentacija</v>
      </c>
      <c r="G124" s="183" t="s">
        <v>188</v>
      </c>
      <c r="H124" s="144" t="s">
        <v>1381</v>
      </c>
      <c r="I124" s="182">
        <v>638832</v>
      </c>
      <c r="J124" s="182">
        <v>638832</v>
      </c>
      <c r="K124" s="182">
        <f t="shared" si="13"/>
        <v>0</v>
      </c>
      <c r="M124" s="139" t="str">
        <f t="shared" si="15"/>
        <v>329</v>
      </c>
      <c r="N124" s="139" t="str">
        <f t="shared" si="16"/>
        <v>32</v>
      </c>
      <c r="R124" s="139">
        <v>4411</v>
      </c>
      <c r="S124" s="139" t="s">
        <v>170</v>
      </c>
      <c r="U124" s="139" t="str">
        <f t="shared" si="24"/>
        <v>44</v>
      </c>
      <c r="V124" s="139" t="str">
        <f t="shared" si="22"/>
        <v>441</v>
      </c>
      <c r="X124" t="s">
        <v>2155</v>
      </c>
      <c r="Y124" t="s">
        <v>2156</v>
      </c>
    </row>
    <row r="125" spans="1:25">
      <c r="A125" s="143" t="str">
        <f>IF(C125="","",VLOOKUP('Opći dio'!$C$3,'Opći dio'!$L$6:$U$137,10,FALSE))</f>
        <v>08006</v>
      </c>
      <c r="B125" s="143" t="str">
        <f>IF(C125="","",VLOOKUP('Opći dio'!$C$3,'Opći dio'!$L$6:$U$137,9,FALSE))</f>
        <v>Sveučilišta i veleučilišta u Republici Hrvatskoj</v>
      </c>
      <c r="C125" s="149">
        <v>43</v>
      </c>
      <c r="D125" s="144" t="str">
        <f t="shared" si="25"/>
        <v>Ostali prihodi za posebne namjene</v>
      </c>
      <c r="E125" s="149">
        <v>3294</v>
      </c>
      <c r="F125" s="144" t="str">
        <f t="shared" si="23"/>
        <v>Članarine i norme</v>
      </c>
      <c r="G125" s="183" t="s">
        <v>188</v>
      </c>
      <c r="H125" s="144" t="s">
        <v>1381</v>
      </c>
      <c r="I125" s="182">
        <v>62903</v>
      </c>
      <c r="J125" s="182">
        <v>62903</v>
      </c>
      <c r="K125" s="182">
        <f t="shared" si="13"/>
        <v>0</v>
      </c>
      <c r="M125" s="139" t="str">
        <f t="shared" si="15"/>
        <v>329</v>
      </c>
      <c r="N125" s="139" t="str">
        <f t="shared" si="16"/>
        <v>32</v>
      </c>
      <c r="R125" s="139">
        <v>4511</v>
      </c>
      <c r="S125" s="139" t="s">
        <v>125</v>
      </c>
      <c r="U125" s="139" t="str">
        <f t="shared" si="24"/>
        <v>45</v>
      </c>
      <c r="V125" s="139" t="str">
        <f t="shared" si="22"/>
        <v>451</v>
      </c>
      <c r="X125" t="s">
        <v>1845</v>
      </c>
      <c r="Y125" t="s">
        <v>1846</v>
      </c>
    </row>
    <row r="126" spans="1:25">
      <c r="A126" s="143" t="str">
        <f>IF(C126="","",VLOOKUP('Opći dio'!$C$3,'Opći dio'!$L$6:$U$137,10,FALSE))</f>
        <v>08006</v>
      </c>
      <c r="B126" s="143" t="str">
        <f>IF(C126="","",VLOOKUP('Opći dio'!$C$3,'Opći dio'!$L$6:$U$137,9,FALSE))</f>
        <v>Sveučilišta i veleučilišta u Republici Hrvatskoj</v>
      </c>
      <c r="C126" s="149">
        <v>43</v>
      </c>
      <c r="D126" s="144" t="str">
        <f t="shared" si="25"/>
        <v>Ostali prihodi za posebne namjene</v>
      </c>
      <c r="E126" s="149">
        <v>3295</v>
      </c>
      <c r="F126" s="144" t="str">
        <f t="shared" si="23"/>
        <v>Pristojbe i naknade</v>
      </c>
      <c r="G126" s="183" t="s">
        <v>188</v>
      </c>
      <c r="H126" s="144" t="s">
        <v>1381</v>
      </c>
      <c r="I126" s="182">
        <v>64137</v>
      </c>
      <c r="J126" s="182">
        <v>64137</v>
      </c>
      <c r="K126" s="182">
        <f t="shared" si="13"/>
        <v>0</v>
      </c>
      <c r="M126" s="139" t="str">
        <f t="shared" si="15"/>
        <v>329</v>
      </c>
      <c r="N126" s="139" t="str">
        <f t="shared" si="16"/>
        <v>32</v>
      </c>
      <c r="R126" s="139">
        <v>4521</v>
      </c>
      <c r="S126" s="139" t="s">
        <v>144</v>
      </c>
      <c r="U126" s="139" t="str">
        <f t="shared" si="24"/>
        <v>45</v>
      </c>
      <c r="V126" s="139" t="str">
        <f t="shared" si="22"/>
        <v>452</v>
      </c>
      <c r="X126" t="s">
        <v>2157</v>
      </c>
      <c r="Y126" t="s">
        <v>2158</v>
      </c>
    </row>
    <row r="127" spans="1:25">
      <c r="A127" s="143" t="str">
        <f>IF(C127="","",VLOOKUP('Opći dio'!$C$3,'Opći dio'!$L$6:$U$137,10,FALSE))</f>
        <v>08006</v>
      </c>
      <c r="B127" s="143" t="str">
        <f>IF(C127="","",VLOOKUP('Opći dio'!$C$3,'Opći dio'!$L$6:$U$137,9,FALSE))</f>
        <v>Sveučilišta i veleučilišta u Republici Hrvatskoj</v>
      </c>
      <c r="C127" s="149">
        <v>43</v>
      </c>
      <c r="D127" s="144" t="str">
        <f t="shared" si="25"/>
        <v>Ostali prihodi za posebne namjene</v>
      </c>
      <c r="E127" s="149">
        <v>3299</v>
      </c>
      <c r="F127" s="144" t="str">
        <f t="shared" si="23"/>
        <v>Ostali nespomenuti rashodi poslovanja</v>
      </c>
      <c r="G127" s="183" t="s">
        <v>188</v>
      </c>
      <c r="H127" s="144" t="s">
        <v>1381</v>
      </c>
      <c r="I127" s="182">
        <v>31267</v>
      </c>
      <c r="J127" s="182">
        <v>71267</v>
      </c>
      <c r="K127" s="182">
        <f t="shared" si="13"/>
        <v>40000</v>
      </c>
      <c r="M127" s="139" t="str">
        <f t="shared" si="15"/>
        <v>329</v>
      </c>
      <c r="N127" s="139" t="str">
        <f t="shared" si="16"/>
        <v>32</v>
      </c>
      <c r="R127" s="139">
        <v>4531</v>
      </c>
      <c r="S127" s="139" t="s">
        <v>187</v>
      </c>
      <c r="U127" s="139" t="str">
        <f t="shared" si="24"/>
        <v>45</v>
      </c>
      <c r="V127" s="139" t="str">
        <f t="shared" si="22"/>
        <v>453</v>
      </c>
      <c r="X127" t="s">
        <v>2159</v>
      </c>
      <c r="Y127" t="s">
        <v>2160</v>
      </c>
    </row>
    <row r="128" spans="1:25">
      <c r="A128" s="143" t="str">
        <f>IF(C128="","",VLOOKUP('Opći dio'!$C$3,'Opći dio'!$L$6:$U$137,10,FALSE))</f>
        <v>08006</v>
      </c>
      <c r="B128" s="143" t="str">
        <f>IF(C128="","",VLOOKUP('Opći dio'!$C$3,'Opći dio'!$L$6:$U$137,9,FALSE))</f>
        <v>Sveučilišta i veleučilišta u Republici Hrvatskoj</v>
      </c>
      <c r="C128" s="149">
        <v>43</v>
      </c>
      <c r="D128" s="144" t="str">
        <f t="shared" si="25"/>
        <v>Ostali prihodi za posebne namjene</v>
      </c>
      <c r="E128" s="149">
        <v>3431</v>
      </c>
      <c r="F128" s="144" t="str">
        <f t="shared" si="23"/>
        <v>Bankarske usluge i usluge platnog prometa</v>
      </c>
      <c r="G128" s="183" t="s">
        <v>188</v>
      </c>
      <c r="H128" s="144" t="s">
        <v>1381</v>
      </c>
      <c r="I128" s="182">
        <v>37002</v>
      </c>
      <c r="J128" s="182">
        <v>37002</v>
      </c>
      <c r="K128" s="182">
        <f t="shared" si="13"/>
        <v>0</v>
      </c>
      <c r="M128" s="139" t="str">
        <f t="shared" si="15"/>
        <v>343</v>
      </c>
      <c r="N128" s="139" t="str">
        <f t="shared" si="16"/>
        <v>34</v>
      </c>
      <c r="R128" s="139">
        <v>4541</v>
      </c>
      <c r="S128" s="139" t="s">
        <v>139</v>
      </c>
      <c r="U128" s="139" t="str">
        <f t="shared" si="24"/>
        <v>45</v>
      </c>
      <c r="V128" s="139" t="str">
        <f t="shared" si="22"/>
        <v>454</v>
      </c>
      <c r="X128" t="s">
        <v>2177</v>
      </c>
      <c r="Y128" t="s">
        <v>2178</v>
      </c>
    </row>
    <row r="129" spans="1:25">
      <c r="A129" s="143" t="s">
        <v>48</v>
      </c>
      <c r="B129" s="143" t="s">
        <v>49</v>
      </c>
      <c r="C129" s="149">
        <v>43</v>
      </c>
      <c r="D129" s="144" t="s">
        <v>100</v>
      </c>
      <c r="E129" s="149">
        <v>3432</v>
      </c>
      <c r="F129" s="144" t="str">
        <f t="shared" si="23"/>
        <v>Negativne tečajne razlike i razlike zbog primjene valutne kl</v>
      </c>
      <c r="G129" s="183" t="s">
        <v>188</v>
      </c>
      <c r="H129" s="144" t="s">
        <v>1381</v>
      </c>
      <c r="I129" s="182">
        <v>0</v>
      </c>
      <c r="J129" s="182">
        <v>8</v>
      </c>
      <c r="K129" s="182">
        <f t="shared" si="13"/>
        <v>8</v>
      </c>
      <c r="M129" s="139" t="str">
        <f t="shared" si="15"/>
        <v>343</v>
      </c>
      <c r="N129" s="139" t="str">
        <f t="shared" si="16"/>
        <v>34</v>
      </c>
      <c r="X129"/>
      <c r="Y129"/>
    </row>
    <row r="130" spans="1:25">
      <c r="A130" s="143" t="s">
        <v>48</v>
      </c>
      <c r="B130" s="143" t="s">
        <v>49</v>
      </c>
      <c r="C130" s="149">
        <v>43</v>
      </c>
      <c r="D130" s="144" t="s">
        <v>100</v>
      </c>
      <c r="E130" s="149">
        <v>3433</v>
      </c>
      <c r="F130" s="144" t="str">
        <f t="shared" si="23"/>
        <v>Zatezne kamate</v>
      </c>
      <c r="G130" s="183" t="s">
        <v>188</v>
      </c>
      <c r="H130" s="144" t="s">
        <v>1381</v>
      </c>
      <c r="I130" s="182">
        <v>0</v>
      </c>
      <c r="J130" s="182">
        <v>74</v>
      </c>
      <c r="K130" s="182">
        <f t="shared" si="13"/>
        <v>74</v>
      </c>
      <c r="M130" s="139" t="str">
        <f t="shared" si="15"/>
        <v>343</v>
      </c>
      <c r="N130" s="139" t="str">
        <f t="shared" si="16"/>
        <v>34</v>
      </c>
      <c r="X130"/>
      <c r="Y130"/>
    </row>
    <row r="131" spans="1:25">
      <c r="A131" s="143" t="str">
        <f>IF(C131="","",VLOOKUP('Opći dio'!$C$3,'Opći dio'!$L$6:$U$137,10,FALSE))</f>
        <v>08006</v>
      </c>
      <c r="B131" s="143" t="str">
        <f>IF(C131="","",VLOOKUP('Opći dio'!$C$3,'Opći dio'!$L$6:$U$137,9,FALSE))</f>
        <v>Sveučilišta i veleučilišta u Republici Hrvatskoj</v>
      </c>
      <c r="C131" s="149">
        <v>43</v>
      </c>
      <c r="D131" s="144" t="str">
        <f t="shared" si="25"/>
        <v>Ostali prihodi za posebne namjene</v>
      </c>
      <c r="E131" s="149">
        <v>3434</v>
      </c>
      <c r="F131" s="144" t="str">
        <f t="shared" si="23"/>
        <v>Ostali nespomenuti financijski rashodi</v>
      </c>
      <c r="G131" s="183" t="s">
        <v>188</v>
      </c>
      <c r="H131" s="144" t="s">
        <v>1381</v>
      </c>
      <c r="I131" s="182">
        <v>3084</v>
      </c>
      <c r="J131" s="182">
        <v>3084</v>
      </c>
      <c r="K131" s="182">
        <f t="shared" si="13"/>
        <v>0</v>
      </c>
      <c r="M131" s="139" t="str">
        <f t="shared" si="15"/>
        <v>343</v>
      </c>
      <c r="N131" s="139" t="str">
        <f t="shared" si="16"/>
        <v>34</v>
      </c>
      <c r="R131" s="139">
        <v>5121</v>
      </c>
      <c r="S131" s="139" t="s">
        <v>195</v>
      </c>
      <c r="U131" s="139" t="str">
        <f t="shared" si="24"/>
        <v>51</v>
      </c>
      <c r="V131" s="139" t="str">
        <f t="shared" si="22"/>
        <v>512</v>
      </c>
      <c r="X131" t="s">
        <v>2179</v>
      </c>
      <c r="Y131" t="s">
        <v>2180</v>
      </c>
    </row>
    <row r="132" spans="1:25">
      <c r="A132" s="143" t="str">
        <f>IF(C132="","",VLOOKUP('Opći dio'!$C$3,'Opći dio'!$L$6:$U$137,10,FALSE))</f>
        <v>08006</v>
      </c>
      <c r="B132" s="143" t="str">
        <f>IF(C132="","",VLOOKUP('Opći dio'!$C$3,'Opći dio'!$L$6:$U$137,9,FALSE))</f>
        <v>Sveučilišta i veleučilišta u Republici Hrvatskoj</v>
      </c>
      <c r="C132" s="149">
        <v>43</v>
      </c>
      <c r="D132" s="144" t="str">
        <f t="shared" si="25"/>
        <v>Ostali prihodi za posebne namjene</v>
      </c>
      <c r="E132" s="149">
        <v>3721</v>
      </c>
      <c r="F132" s="144" t="str">
        <f t="shared" ref="F132:F163" si="26">IFERROR(VLOOKUP(E132,$R$5:$T$144,2,FALSE),"")</f>
        <v>Naknade građanima i kućanstvima u novcu</v>
      </c>
      <c r="G132" s="183" t="s">
        <v>188</v>
      </c>
      <c r="H132" s="144" t="s">
        <v>1381</v>
      </c>
      <c r="I132" s="182">
        <v>398653</v>
      </c>
      <c r="J132" s="182">
        <v>398653</v>
      </c>
      <c r="K132" s="182">
        <f t="shared" si="13"/>
        <v>0</v>
      </c>
      <c r="M132" s="139" t="str">
        <f t="shared" si="15"/>
        <v>372</v>
      </c>
      <c r="N132" s="139" t="str">
        <f t="shared" si="16"/>
        <v>37</v>
      </c>
      <c r="R132" s="139">
        <v>5443</v>
      </c>
      <c r="S132" s="139" t="s">
        <v>171</v>
      </c>
      <c r="U132" s="139" t="str">
        <f t="shared" si="24"/>
        <v>54</v>
      </c>
      <c r="V132" s="139" t="str">
        <f t="shared" si="22"/>
        <v>544</v>
      </c>
      <c r="X132" t="s">
        <v>2181</v>
      </c>
      <c r="Y132" t="s">
        <v>2182</v>
      </c>
    </row>
    <row r="133" spans="1:25">
      <c r="A133" s="143" t="str">
        <f>IF(C133="","",VLOOKUP('Opći dio'!$C$3,'Opći dio'!$L$6:$U$137,10,FALSE))</f>
        <v>08006</v>
      </c>
      <c r="B133" s="143" t="str">
        <f>IF(C133="","",VLOOKUP('Opći dio'!$C$3,'Opći dio'!$L$6:$U$137,9,FALSE))</f>
        <v>Sveučilišta i veleučilišta u Republici Hrvatskoj</v>
      </c>
      <c r="C133" s="149">
        <v>43</v>
      </c>
      <c r="D133" s="144" t="str">
        <f t="shared" si="25"/>
        <v>Ostali prihodi za posebne namjene</v>
      </c>
      <c r="E133" s="149">
        <v>4123</v>
      </c>
      <c r="F133" s="144" t="str">
        <f t="shared" si="26"/>
        <v>Licence</v>
      </c>
      <c r="G133" s="183" t="s">
        <v>188</v>
      </c>
      <c r="H133" s="144" t="s">
        <v>1381</v>
      </c>
      <c r="I133" s="182">
        <v>152633</v>
      </c>
      <c r="J133" s="182">
        <v>44140</v>
      </c>
      <c r="K133" s="182">
        <f t="shared" si="13"/>
        <v>-108493</v>
      </c>
      <c r="M133" s="139" t="str">
        <f t="shared" si="15"/>
        <v>412</v>
      </c>
      <c r="N133" s="139" t="str">
        <f t="shared" si="16"/>
        <v>41</v>
      </c>
      <c r="R133" s="139">
        <v>5121</v>
      </c>
      <c r="S133" s="139" t="s">
        <v>739</v>
      </c>
      <c r="U133" s="139" t="str">
        <f t="shared" si="24"/>
        <v>51</v>
      </c>
      <c r="V133" s="139" t="str">
        <f t="shared" ref="V133:V144" si="27">LEFT(R133,3)</f>
        <v>512</v>
      </c>
      <c r="X133" t="s">
        <v>2183</v>
      </c>
      <c r="Y133" t="s">
        <v>2184</v>
      </c>
    </row>
    <row r="134" spans="1:25">
      <c r="A134" s="143" t="str">
        <f>IF(C134="","",VLOOKUP('Opći dio'!$C$3,'Opći dio'!$L$6:$U$137,10,FALSE))</f>
        <v>08006</v>
      </c>
      <c r="B134" s="143" t="str">
        <f>IF(C134="","",VLOOKUP('Opći dio'!$C$3,'Opći dio'!$L$6:$U$137,9,FALSE))</f>
        <v>Sveučilišta i veleučilišta u Republici Hrvatskoj</v>
      </c>
      <c r="C134" s="149">
        <v>43</v>
      </c>
      <c r="D134" s="144" t="str">
        <f t="shared" si="25"/>
        <v>Ostali prihodi za posebne namjene</v>
      </c>
      <c r="E134" s="149">
        <v>4212</v>
      </c>
      <c r="F134" s="144" t="str">
        <f t="shared" si="26"/>
        <v>Poslovni objekti</v>
      </c>
      <c r="G134" s="183" t="s">
        <v>188</v>
      </c>
      <c r="H134" s="144" t="s">
        <v>1381</v>
      </c>
      <c r="I134" s="182">
        <v>134353</v>
      </c>
      <c r="J134" s="182">
        <v>44975</v>
      </c>
      <c r="K134" s="182">
        <f t="shared" si="13"/>
        <v>-89378</v>
      </c>
      <c r="M134" s="139" t="str">
        <f t="shared" si="15"/>
        <v>421</v>
      </c>
      <c r="N134" s="139" t="str">
        <f t="shared" si="16"/>
        <v>42</v>
      </c>
      <c r="R134" s="139">
        <v>5122</v>
      </c>
      <c r="S134" s="139" t="s">
        <v>740</v>
      </c>
      <c r="U134" s="139" t="str">
        <f t="shared" si="24"/>
        <v>51</v>
      </c>
      <c r="V134" s="139" t="str">
        <f t="shared" si="27"/>
        <v>512</v>
      </c>
      <c r="X134" t="s">
        <v>2185</v>
      </c>
      <c r="Y134" t="s">
        <v>2186</v>
      </c>
    </row>
    <row r="135" spans="1:25">
      <c r="A135" s="143" t="str">
        <f>IF(C135="","",VLOOKUP('Opći dio'!$C$3,'Opći dio'!$L$6:$U$137,10,FALSE))</f>
        <v>08006</v>
      </c>
      <c r="B135" s="143" t="str">
        <f>IF(C135="","",VLOOKUP('Opći dio'!$C$3,'Opći dio'!$L$6:$U$137,9,FALSE))</f>
        <v>Sveučilišta i veleučilišta u Republici Hrvatskoj</v>
      </c>
      <c r="C135" s="149">
        <v>43</v>
      </c>
      <c r="D135" s="144" t="str">
        <f t="shared" si="25"/>
        <v>Ostali prihodi za posebne namjene</v>
      </c>
      <c r="E135" s="149">
        <v>4214</v>
      </c>
      <c r="F135" s="144" t="str">
        <f t="shared" si="26"/>
        <v>Ostali građevinski objekti</v>
      </c>
      <c r="G135" s="183" t="s">
        <v>188</v>
      </c>
      <c r="H135" s="144" t="s">
        <v>1381</v>
      </c>
      <c r="I135" s="182">
        <v>134353</v>
      </c>
      <c r="J135" s="182">
        <v>25425</v>
      </c>
      <c r="K135" s="182">
        <f t="shared" si="13"/>
        <v>-108928</v>
      </c>
      <c r="M135" s="139" t="str">
        <f t="shared" si="15"/>
        <v>421</v>
      </c>
      <c r="N135" s="139" t="str">
        <f t="shared" si="16"/>
        <v>42</v>
      </c>
      <c r="R135" s="139">
        <v>5141</v>
      </c>
      <c r="S135" s="139" t="s">
        <v>741</v>
      </c>
      <c r="U135" s="139" t="str">
        <f t="shared" si="24"/>
        <v>51</v>
      </c>
      <c r="V135" s="139" t="str">
        <f t="shared" si="27"/>
        <v>514</v>
      </c>
      <c r="X135" t="s">
        <v>2187</v>
      </c>
      <c r="Y135" t="s">
        <v>2188</v>
      </c>
    </row>
    <row r="136" spans="1:25">
      <c r="A136" s="143" t="str">
        <f>IF(C136="","",VLOOKUP('Opći dio'!$C$3,'Opći dio'!$L$6:$U$137,10,FALSE))</f>
        <v>08006</v>
      </c>
      <c r="B136" s="143" t="str">
        <f>IF(C136="","",VLOOKUP('Opći dio'!$C$3,'Opći dio'!$L$6:$U$137,9,FALSE))</f>
        <v>Sveučilišta i veleučilišta u Republici Hrvatskoj</v>
      </c>
      <c r="C136" s="149">
        <v>43</v>
      </c>
      <c r="D136" s="144" t="str">
        <f t="shared" si="25"/>
        <v>Ostali prihodi za posebne namjene</v>
      </c>
      <c r="E136" s="149">
        <v>4221</v>
      </c>
      <c r="F136" s="144" t="str">
        <f t="shared" si="26"/>
        <v>Uredska oprema i namještaj</v>
      </c>
      <c r="G136" s="183" t="s">
        <v>188</v>
      </c>
      <c r="H136" s="144" t="s">
        <v>1381</v>
      </c>
      <c r="I136" s="182">
        <v>267824</v>
      </c>
      <c r="J136" s="182">
        <v>267824</v>
      </c>
      <c r="K136" s="182">
        <f t="shared" si="13"/>
        <v>0</v>
      </c>
      <c r="M136" s="139" t="str">
        <f t="shared" si="15"/>
        <v>422</v>
      </c>
      <c r="N136" s="139" t="str">
        <f t="shared" si="16"/>
        <v>42</v>
      </c>
      <c r="R136" s="139">
        <v>5181</v>
      </c>
      <c r="S136" s="139" t="s">
        <v>742</v>
      </c>
      <c r="U136" s="139" t="str">
        <f t="shared" si="24"/>
        <v>51</v>
      </c>
      <c r="V136" s="139" t="str">
        <f t="shared" si="27"/>
        <v>518</v>
      </c>
      <c r="X136" t="s">
        <v>2189</v>
      </c>
      <c r="Y136" t="s">
        <v>2190</v>
      </c>
    </row>
    <row r="137" spans="1:25">
      <c r="A137" s="143" t="str">
        <f>IF(C137="","",VLOOKUP('Opći dio'!$C$3,'Opći dio'!$L$6:$U$137,10,FALSE))</f>
        <v>08006</v>
      </c>
      <c r="B137" s="143" t="str">
        <f>IF(C137="","",VLOOKUP('Opći dio'!$C$3,'Opći dio'!$L$6:$U$137,9,FALSE))</f>
        <v>Sveučilišta i veleučilišta u Republici Hrvatskoj</v>
      </c>
      <c r="C137" s="149">
        <v>43</v>
      </c>
      <c r="D137" s="144" t="str">
        <f t="shared" si="25"/>
        <v>Ostali prihodi za posebne namjene</v>
      </c>
      <c r="E137" s="149">
        <v>4222</v>
      </c>
      <c r="F137" s="144" t="str">
        <f t="shared" si="26"/>
        <v>Komunikacijska oprema</v>
      </c>
      <c r="G137" s="183" t="s">
        <v>188</v>
      </c>
      <c r="H137" s="144" t="s">
        <v>1381</v>
      </c>
      <c r="I137" s="182">
        <v>25901</v>
      </c>
      <c r="J137" s="182">
        <v>25901</v>
      </c>
      <c r="K137" s="182">
        <f t="shared" si="13"/>
        <v>0</v>
      </c>
      <c r="M137" s="139" t="str">
        <f t="shared" si="15"/>
        <v>422</v>
      </c>
      <c r="N137" s="139" t="str">
        <f t="shared" si="16"/>
        <v>42</v>
      </c>
      <c r="R137" s="139">
        <v>5183</v>
      </c>
      <c r="S137" s="139" t="s">
        <v>743</v>
      </c>
      <c r="U137" s="139" t="str">
        <f t="shared" si="24"/>
        <v>51</v>
      </c>
      <c r="V137" s="139" t="str">
        <f t="shared" si="27"/>
        <v>518</v>
      </c>
      <c r="X137" t="s">
        <v>2191</v>
      </c>
      <c r="Y137" t="s">
        <v>2192</v>
      </c>
    </row>
    <row r="138" spans="1:25">
      <c r="A138" s="143" t="str">
        <f>IF(C138="","",VLOOKUP('Opći dio'!$C$3,'Opći dio'!$L$6:$U$137,10,FALSE))</f>
        <v>08006</v>
      </c>
      <c r="B138" s="143" t="str">
        <f>IF(C138="","",VLOOKUP('Opći dio'!$C$3,'Opći dio'!$L$6:$U$137,9,FALSE))</f>
        <v>Sveučilišta i veleučilišta u Republici Hrvatskoj</v>
      </c>
      <c r="C138" s="149">
        <v>43</v>
      </c>
      <c r="D138" s="144" t="str">
        <f t="shared" si="25"/>
        <v>Ostali prihodi za posebne namjene</v>
      </c>
      <c r="E138" s="149">
        <v>4223</v>
      </c>
      <c r="F138" s="144" t="str">
        <f t="shared" si="26"/>
        <v>Oprema za održavanje i zaštitu</v>
      </c>
      <c r="G138" s="183" t="s">
        <v>188</v>
      </c>
      <c r="H138" s="144" t="s">
        <v>1381</v>
      </c>
      <c r="I138" s="182">
        <v>13876</v>
      </c>
      <c r="J138" s="182">
        <v>13876</v>
      </c>
      <c r="K138" s="182">
        <f t="shared" si="13"/>
        <v>0</v>
      </c>
      <c r="M138" s="139" t="str">
        <f t="shared" si="15"/>
        <v>422</v>
      </c>
      <c r="N138" s="139" t="str">
        <f t="shared" si="16"/>
        <v>42</v>
      </c>
      <c r="R138" s="139">
        <v>5422</v>
      </c>
      <c r="S138" s="139" t="s">
        <v>744</v>
      </c>
      <c r="U138" s="139" t="str">
        <f t="shared" si="24"/>
        <v>54</v>
      </c>
      <c r="V138" s="139" t="str">
        <f t="shared" si="27"/>
        <v>542</v>
      </c>
      <c r="X138" t="s">
        <v>2193</v>
      </c>
      <c r="Y138" t="s">
        <v>2194</v>
      </c>
    </row>
    <row r="139" spans="1:25">
      <c r="A139" s="143" t="s">
        <v>48</v>
      </c>
      <c r="B139" s="143" t="s">
        <v>49</v>
      </c>
      <c r="C139" s="149">
        <v>43</v>
      </c>
      <c r="D139" s="144" t="s">
        <v>100</v>
      </c>
      <c r="E139" s="149">
        <v>4224</v>
      </c>
      <c r="F139" s="144" t="str">
        <f t="shared" si="26"/>
        <v>Medicinska i laboratorijska oprema</v>
      </c>
      <c r="G139" s="183" t="s">
        <v>188</v>
      </c>
      <c r="H139" s="144" t="s">
        <v>1381</v>
      </c>
      <c r="I139" s="182">
        <v>0</v>
      </c>
      <c r="J139" s="182">
        <v>13847</v>
      </c>
      <c r="K139" s="182">
        <f t="shared" si="13"/>
        <v>13847</v>
      </c>
      <c r="M139" s="139" t="str">
        <f t="shared" si="15"/>
        <v>422</v>
      </c>
      <c r="N139" s="139" t="str">
        <f t="shared" si="16"/>
        <v>42</v>
      </c>
      <c r="X139"/>
      <c r="Y139"/>
    </row>
    <row r="140" spans="1:25">
      <c r="A140" s="143" t="str">
        <f>IF(C140="","",VLOOKUP('Opći dio'!$C$3,'Opći dio'!$L$6:$U$137,10,FALSE))</f>
        <v>08006</v>
      </c>
      <c r="B140" s="143" t="str">
        <f>IF(C140="","",VLOOKUP('Opći dio'!$C$3,'Opći dio'!$L$6:$U$137,9,FALSE))</f>
        <v>Sveučilišta i veleučilišta u Republici Hrvatskoj</v>
      </c>
      <c r="C140" s="149">
        <v>43</v>
      </c>
      <c r="D140" s="144" t="str">
        <f t="shared" si="25"/>
        <v>Ostali prihodi za posebne namjene</v>
      </c>
      <c r="E140" s="149">
        <v>4225</v>
      </c>
      <c r="F140" s="144" t="str">
        <f t="shared" si="26"/>
        <v>Instrumenti, uređaji i strojevi</v>
      </c>
      <c r="G140" s="183" t="s">
        <v>188</v>
      </c>
      <c r="H140" s="144" t="s">
        <v>1381</v>
      </c>
      <c r="I140" s="182">
        <v>12951</v>
      </c>
      <c r="J140" s="182">
        <v>20951</v>
      </c>
      <c r="K140" s="182">
        <f t="shared" si="13"/>
        <v>8000</v>
      </c>
      <c r="M140" s="139" t="str">
        <f t="shared" si="15"/>
        <v>422</v>
      </c>
      <c r="N140" s="139" t="str">
        <f t="shared" si="16"/>
        <v>42</v>
      </c>
      <c r="R140" s="139">
        <v>5431</v>
      </c>
      <c r="S140" s="139" t="s">
        <v>355</v>
      </c>
      <c r="U140" s="139" t="str">
        <f t="shared" si="24"/>
        <v>54</v>
      </c>
      <c r="V140" s="139" t="str">
        <f t="shared" si="27"/>
        <v>543</v>
      </c>
      <c r="X140" t="s">
        <v>2195</v>
      </c>
      <c r="Y140" t="s">
        <v>2196</v>
      </c>
    </row>
    <row r="141" spans="1:25">
      <c r="A141" s="143" t="str">
        <f>IF(C141="","",VLOOKUP('Opći dio'!$C$3,'Opći dio'!$L$6:$U$137,10,FALSE))</f>
        <v>08006</v>
      </c>
      <c r="B141" s="143" t="str">
        <f>IF(C141="","",VLOOKUP('Opći dio'!$C$3,'Opći dio'!$L$6:$U$137,9,FALSE))</f>
        <v>Sveučilišta i veleučilišta u Republici Hrvatskoj</v>
      </c>
      <c r="C141" s="149">
        <v>43</v>
      </c>
      <c r="D141" s="144" t="str">
        <f t="shared" si="25"/>
        <v>Ostali prihodi za posebne namjene</v>
      </c>
      <c r="E141" s="149">
        <v>4226</v>
      </c>
      <c r="F141" s="144" t="str">
        <f t="shared" si="26"/>
        <v>Sportska i glazbena oprema</v>
      </c>
      <c r="G141" s="183" t="s">
        <v>188</v>
      </c>
      <c r="H141" s="144" t="s">
        <v>1381</v>
      </c>
      <c r="I141" s="182">
        <v>15726</v>
      </c>
      <c r="J141" s="182">
        <v>15726</v>
      </c>
      <c r="K141" s="182">
        <f t="shared" si="13"/>
        <v>0</v>
      </c>
      <c r="M141" s="139" t="str">
        <f t="shared" si="15"/>
        <v>422</v>
      </c>
      <c r="N141" s="139" t="str">
        <f t="shared" si="16"/>
        <v>42</v>
      </c>
      <c r="R141" s="139">
        <v>5443</v>
      </c>
      <c r="S141" s="139" t="s">
        <v>745</v>
      </c>
      <c r="U141" s="139" t="str">
        <f t="shared" si="24"/>
        <v>54</v>
      </c>
      <c r="V141" s="139" t="str">
        <f t="shared" si="27"/>
        <v>544</v>
      </c>
      <c r="X141" t="s">
        <v>2197</v>
      </c>
      <c r="Y141" t="s">
        <v>2198</v>
      </c>
    </row>
    <row r="142" spans="1:25">
      <c r="A142" s="143" t="str">
        <f>IF(C142="","",VLOOKUP('Opći dio'!$C$3,'Opći dio'!$L$6:$U$137,10,FALSE))</f>
        <v>08006</v>
      </c>
      <c r="B142" s="143" t="str">
        <f>IF(C142="","",VLOOKUP('Opći dio'!$C$3,'Opći dio'!$L$6:$U$137,9,FALSE))</f>
        <v>Sveučilišta i veleučilišta u Republici Hrvatskoj</v>
      </c>
      <c r="C142" s="149">
        <v>43</v>
      </c>
      <c r="D142" s="144" t="str">
        <f t="shared" si="25"/>
        <v>Ostali prihodi za posebne namjene</v>
      </c>
      <c r="E142" s="149">
        <v>4227</v>
      </c>
      <c r="F142" s="144" t="str">
        <f t="shared" si="26"/>
        <v>Uređaji, strojevi i oprema za ostale namjene</v>
      </c>
      <c r="G142" s="183" t="s">
        <v>188</v>
      </c>
      <c r="H142" s="144" t="s">
        <v>1381</v>
      </c>
      <c r="I142" s="182">
        <v>148202</v>
      </c>
      <c r="J142" s="182">
        <v>241430</v>
      </c>
      <c r="K142" s="182">
        <f t="shared" si="13"/>
        <v>93228</v>
      </c>
      <c r="M142" s="139" t="str">
        <f t="shared" si="15"/>
        <v>422</v>
      </c>
      <c r="N142" s="139" t="str">
        <f t="shared" si="16"/>
        <v>42</v>
      </c>
      <c r="R142" s="139">
        <v>5445</v>
      </c>
      <c r="S142" s="139" t="s">
        <v>746</v>
      </c>
      <c r="U142" s="139" t="str">
        <f t="shared" si="24"/>
        <v>54</v>
      </c>
      <c r="V142" s="139" t="str">
        <f t="shared" si="27"/>
        <v>544</v>
      </c>
      <c r="X142" t="s">
        <v>2205</v>
      </c>
      <c r="Y142" t="s">
        <v>2206</v>
      </c>
    </row>
    <row r="143" spans="1:25">
      <c r="A143" s="143" t="str">
        <f>IF(C143="","",VLOOKUP('Opći dio'!$C$3,'Opći dio'!$L$6:$U$137,10,FALSE))</f>
        <v>08006</v>
      </c>
      <c r="B143" s="143" t="str">
        <f>IF(C143="","",VLOOKUP('Opći dio'!$C$3,'Opći dio'!$L$6:$U$137,9,FALSE))</f>
        <v>Sveučilišta i veleučilišta u Republici Hrvatskoj</v>
      </c>
      <c r="C143" s="149">
        <v>43</v>
      </c>
      <c r="D143" s="144" t="str">
        <f t="shared" si="25"/>
        <v>Ostali prihodi za posebne namjene</v>
      </c>
      <c r="E143" s="149">
        <v>4241</v>
      </c>
      <c r="F143" s="144" t="str">
        <f t="shared" si="26"/>
        <v>Knjige</v>
      </c>
      <c r="G143" s="183" t="s">
        <v>188</v>
      </c>
      <c r="H143" s="144" t="s">
        <v>1381</v>
      </c>
      <c r="I143" s="182">
        <v>258486</v>
      </c>
      <c r="J143" s="182">
        <v>258486</v>
      </c>
      <c r="K143" s="182">
        <f t="shared" si="13"/>
        <v>0</v>
      </c>
      <c r="M143" s="139" t="str">
        <f t="shared" si="15"/>
        <v>424</v>
      </c>
      <c r="N143" s="139" t="str">
        <f t="shared" si="16"/>
        <v>42</v>
      </c>
      <c r="R143" s="139">
        <v>5453</v>
      </c>
      <c r="S143" s="139" t="s">
        <v>747</v>
      </c>
      <c r="U143" s="139" t="str">
        <f t="shared" si="24"/>
        <v>54</v>
      </c>
      <c r="V143" s="139" t="str">
        <f t="shared" si="27"/>
        <v>545</v>
      </c>
      <c r="X143" t="s">
        <v>2207</v>
      </c>
      <c r="Y143" t="s">
        <v>2208</v>
      </c>
    </row>
    <row r="144" spans="1:25">
      <c r="A144" s="143" t="str">
        <f>IF(C144="","",VLOOKUP('Opći dio'!$C$3,'Opći dio'!$L$6:$U$137,10,FALSE))</f>
        <v>08006</v>
      </c>
      <c r="B144" s="143" t="str">
        <f>IF(C144="","",VLOOKUP('Opći dio'!$C$3,'Opći dio'!$L$6:$U$137,9,FALSE))</f>
        <v>Sveučilišta i veleučilišta u Republici Hrvatskoj</v>
      </c>
      <c r="C144" s="149">
        <v>43</v>
      </c>
      <c r="D144" s="144" t="str">
        <f t="shared" si="25"/>
        <v>Ostali prihodi za posebne namjene</v>
      </c>
      <c r="E144" s="149">
        <v>4262</v>
      </c>
      <c r="F144" s="144" t="str">
        <f t="shared" si="26"/>
        <v>Ulaganja u računalne programe</v>
      </c>
      <c r="G144" s="183" t="s">
        <v>188</v>
      </c>
      <c r="H144" s="144" t="s">
        <v>1381</v>
      </c>
      <c r="I144" s="182">
        <v>9866</v>
      </c>
      <c r="J144" s="182">
        <v>25000</v>
      </c>
      <c r="K144" s="182">
        <f t="shared" si="13"/>
        <v>15134</v>
      </c>
      <c r="M144" s="139" t="str">
        <f t="shared" si="15"/>
        <v>426</v>
      </c>
      <c r="N144" s="139" t="str">
        <f t="shared" si="16"/>
        <v>42</v>
      </c>
      <c r="R144" s="139">
        <v>5472</v>
      </c>
      <c r="S144" s="139" t="s">
        <v>748</v>
      </c>
      <c r="U144" s="139" t="str">
        <f t="shared" si="24"/>
        <v>54</v>
      </c>
      <c r="V144" s="139" t="str">
        <f t="shared" si="27"/>
        <v>547</v>
      </c>
      <c r="X144" t="s">
        <v>2209</v>
      </c>
      <c r="Y144" t="s">
        <v>2210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5"/>
        <v/>
      </c>
      <c r="E145" s="149"/>
      <c r="F145" s="144" t="str">
        <f t="shared" si="26"/>
        <v/>
      </c>
      <c r="G145" s="183"/>
      <c r="H145" s="144"/>
      <c r="I145" s="182"/>
      <c r="J145" s="182"/>
      <c r="K145" s="182"/>
      <c r="M145" s="139" t="str">
        <f t="shared" si="15"/>
        <v/>
      </c>
      <c r="N145" s="139" t="str">
        <f t="shared" si="16"/>
        <v/>
      </c>
      <c r="X145" t="s">
        <v>2217</v>
      </c>
      <c r="Y145" t="s">
        <v>2218</v>
      </c>
    </row>
    <row r="146" spans="1:25">
      <c r="A146" s="143" t="str">
        <f>IF(C146="","",VLOOKUP('Opći dio'!$C$3,'Opći dio'!$L$6:$U$137,10,FALSE))</f>
        <v>08006</v>
      </c>
      <c r="B146" s="143" t="str">
        <f>IF(C146="","",VLOOKUP('Opći dio'!$C$3,'Opći dio'!$L$6:$U$137,9,FALSE))</f>
        <v>Sveučilišta i veleučilišta u Republici Hrvatskoj</v>
      </c>
      <c r="C146" s="149">
        <v>52</v>
      </c>
      <c r="D146" s="144" t="str">
        <f t="shared" si="25"/>
        <v>Ostale pomoći</v>
      </c>
      <c r="E146" s="149">
        <v>3241</v>
      </c>
      <c r="F146" s="144" t="str">
        <f t="shared" si="26"/>
        <v>Naknade troškova osobama izvan radnog odnosa</v>
      </c>
      <c r="G146" s="183" t="s">
        <v>188</v>
      </c>
      <c r="H146" s="144" t="s">
        <v>1381</v>
      </c>
      <c r="I146" s="182">
        <v>61403</v>
      </c>
      <c r="J146" s="182">
        <v>165403</v>
      </c>
      <c r="K146" s="182">
        <f t="shared" ref="K146:K172" si="28">+J146-I146</f>
        <v>104000</v>
      </c>
      <c r="M146" s="139" t="str">
        <f t="shared" si="15"/>
        <v>324</v>
      </c>
      <c r="N146" s="139" t="str">
        <f t="shared" si="16"/>
        <v>32</v>
      </c>
      <c r="X146" t="s">
        <v>2219</v>
      </c>
      <c r="Y146" t="s">
        <v>2220</v>
      </c>
    </row>
    <row r="147" spans="1:25">
      <c r="A147" s="143" t="str">
        <f>IF(C147="","",VLOOKUP('Opći dio'!$C$3,'Opći dio'!$L$6:$U$137,10,FALSE))</f>
        <v>08006</v>
      </c>
      <c r="B147" s="143" t="str">
        <f>IF(C147="","",VLOOKUP('Opći dio'!$C$3,'Opći dio'!$L$6:$U$137,9,FALSE))</f>
        <v>Sveučilišta i veleučilišta u Republici Hrvatskoj</v>
      </c>
      <c r="C147" s="149">
        <v>52</v>
      </c>
      <c r="D147" s="144" t="str">
        <f t="shared" si="25"/>
        <v>Ostale pomoći</v>
      </c>
      <c r="E147" s="149">
        <v>3211</v>
      </c>
      <c r="F147" s="144" t="str">
        <f t="shared" si="26"/>
        <v>Službena putovanja</v>
      </c>
      <c r="G147" s="183" t="s">
        <v>188</v>
      </c>
      <c r="H147" s="144" t="s">
        <v>1381</v>
      </c>
      <c r="I147" s="182">
        <v>395101</v>
      </c>
      <c r="J147" s="182">
        <v>395101</v>
      </c>
      <c r="K147" s="182">
        <f t="shared" si="28"/>
        <v>0</v>
      </c>
      <c r="M147" s="139" t="str">
        <f t="shared" ref="M147:M219" si="29">LEFT(E147,3)</f>
        <v>321</v>
      </c>
      <c r="N147" s="139" t="str">
        <f t="shared" ref="N147:N219" si="30">LEFT(E147,2)</f>
        <v>32</v>
      </c>
      <c r="X147" t="s">
        <v>2223</v>
      </c>
      <c r="Y147" t="s">
        <v>2224</v>
      </c>
    </row>
    <row r="148" spans="1:25">
      <c r="A148" s="143" t="str">
        <f>IF(C148="","",VLOOKUP('Opći dio'!$C$3,'Opći dio'!$L$6:$U$137,10,FALSE))</f>
        <v>08006</v>
      </c>
      <c r="B148" s="143" t="str">
        <f>IF(C148="","",VLOOKUP('Opći dio'!$C$3,'Opći dio'!$L$6:$U$137,9,FALSE))</f>
        <v>Sveučilišta i veleučilišta u Republici Hrvatskoj</v>
      </c>
      <c r="C148" s="149">
        <v>52</v>
      </c>
      <c r="D148" s="144" t="str">
        <f t="shared" si="25"/>
        <v>Ostale pomoći</v>
      </c>
      <c r="E148" s="149">
        <v>3111</v>
      </c>
      <c r="F148" s="144" t="str">
        <f t="shared" si="26"/>
        <v>Plaće za redovan rad</v>
      </c>
      <c r="G148" s="183" t="s">
        <v>188</v>
      </c>
      <c r="H148" s="144" t="s">
        <v>1381</v>
      </c>
      <c r="I148" s="182">
        <v>765996</v>
      </c>
      <c r="J148" s="182">
        <v>995996</v>
      </c>
      <c r="K148" s="182">
        <f t="shared" si="28"/>
        <v>230000</v>
      </c>
      <c r="M148" s="139" t="str">
        <f t="shared" si="29"/>
        <v>311</v>
      </c>
      <c r="N148" s="139" t="str">
        <f t="shared" si="30"/>
        <v>31</v>
      </c>
      <c r="X148" t="s">
        <v>1848</v>
      </c>
      <c r="Y148" t="s">
        <v>1849</v>
      </c>
    </row>
    <row r="149" spans="1:25">
      <c r="A149" s="143" t="str">
        <f>IF(C149="","",VLOOKUP('Opći dio'!$C$3,'Opći dio'!$L$6:$U$137,10,FALSE))</f>
        <v>08006</v>
      </c>
      <c r="B149" s="143" t="str">
        <f>IF(C149="","",VLOOKUP('Opći dio'!$C$3,'Opći dio'!$L$6:$U$137,9,FALSE))</f>
        <v>Sveučilišta i veleučilišta u Republici Hrvatskoj</v>
      </c>
      <c r="C149" s="149">
        <v>52</v>
      </c>
      <c r="D149" s="144" t="str">
        <f t="shared" si="25"/>
        <v>Ostale pomoći</v>
      </c>
      <c r="E149" s="149">
        <v>3113</v>
      </c>
      <c r="F149" s="144" t="str">
        <f t="shared" si="26"/>
        <v>Plaće za prekovremeni rad</v>
      </c>
      <c r="G149" s="183" t="s">
        <v>188</v>
      </c>
      <c r="H149" s="144" t="s">
        <v>1381</v>
      </c>
      <c r="I149" s="182">
        <v>0</v>
      </c>
      <c r="J149" s="182">
        <v>49509</v>
      </c>
      <c r="K149" s="182">
        <f t="shared" si="28"/>
        <v>49509</v>
      </c>
      <c r="M149" s="139" t="str">
        <f t="shared" si="29"/>
        <v>311</v>
      </c>
      <c r="N149" s="139" t="str">
        <f t="shared" si="30"/>
        <v>31</v>
      </c>
      <c r="X149"/>
      <c r="Y149"/>
    </row>
    <row r="150" spans="1:25">
      <c r="A150" s="143" t="str">
        <f>IF(C150="","",VLOOKUP('Opći dio'!$C$3,'Opći dio'!$L$6:$U$137,10,FALSE))</f>
        <v>08006</v>
      </c>
      <c r="B150" s="143" t="str">
        <f>IF(C150="","",VLOOKUP('Opći dio'!$C$3,'Opći dio'!$L$6:$U$137,9,FALSE))</f>
        <v>Sveučilišta i veleučilišta u Republici Hrvatskoj</v>
      </c>
      <c r="C150" s="149">
        <v>52</v>
      </c>
      <c r="D150" s="144" t="str">
        <f t="shared" si="25"/>
        <v>Ostale pomoći</v>
      </c>
      <c r="E150" s="149">
        <v>3121</v>
      </c>
      <c r="F150" s="144" t="str">
        <f t="shared" si="26"/>
        <v>Ostali rashodi za zaposlene</v>
      </c>
      <c r="G150" s="183" t="s">
        <v>188</v>
      </c>
      <c r="H150" s="144" t="s">
        <v>1381</v>
      </c>
      <c r="I150" s="182">
        <v>0</v>
      </c>
      <c r="J150" s="182">
        <v>18000</v>
      </c>
      <c r="K150" s="182">
        <f t="shared" si="28"/>
        <v>18000</v>
      </c>
      <c r="M150" s="139" t="str">
        <f t="shared" si="29"/>
        <v>312</v>
      </c>
      <c r="N150" s="139" t="str">
        <f t="shared" si="30"/>
        <v>31</v>
      </c>
      <c r="X150"/>
      <c r="Y150"/>
    </row>
    <row r="151" spans="1:25">
      <c r="A151" s="143" t="str">
        <f>IF(C151="","",VLOOKUP('Opći dio'!$C$3,'Opći dio'!$L$6:$U$137,10,FALSE))</f>
        <v>08006</v>
      </c>
      <c r="B151" s="143" t="str">
        <f>IF(C151="","",VLOOKUP('Opći dio'!$C$3,'Opći dio'!$L$6:$U$137,9,FALSE))</f>
        <v>Sveučilišta i veleučilišta u Republici Hrvatskoj</v>
      </c>
      <c r="C151" s="149">
        <v>52</v>
      </c>
      <c r="D151" s="144" t="str">
        <f t="shared" si="25"/>
        <v>Ostale pomoći</v>
      </c>
      <c r="E151" s="149">
        <v>3132</v>
      </c>
      <c r="F151" s="144" t="str">
        <f t="shared" si="26"/>
        <v>Doprinosi za obvezno zdravstveno osiguranje</v>
      </c>
      <c r="G151" s="183" t="s">
        <v>188</v>
      </c>
      <c r="H151" s="144" t="s">
        <v>1381</v>
      </c>
      <c r="I151" s="182">
        <v>122559</v>
      </c>
      <c r="J151" s="182">
        <v>172559</v>
      </c>
      <c r="K151" s="182">
        <f t="shared" si="28"/>
        <v>50000</v>
      </c>
      <c r="M151" s="139" t="str">
        <f t="shared" si="29"/>
        <v>313</v>
      </c>
      <c r="N151" s="139" t="str">
        <f t="shared" si="30"/>
        <v>31</v>
      </c>
      <c r="X151" t="s">
        <v>2225</v>
      </c>
      <c r="Y151" t="s">
        <v>2200</v>
      </c>
    </row>
    <row r="152" spans="1:25">
      <c r="A152" s="143" t="str">
        <f>IF(C152="","",VLOOKUP('Opći dio'!$C$3,'Opći dio'!$L$6:$U$137,10,FALSE))</f>
        <v>08006</v>
      </c>
      <c r="B152" s="143" t="str">
        <f>IF(C152="","",VLOOKUP('Opći dio'!$C$3,'Opći dio'!$L$6:$U$137,9,FALSE))</f>
        <v>Sveučilišta i veleučilišta u Republici Hrvatskoj</v>
      </c>
      <c r="C152" s="149">
        <v>52</v>
      </c>
      <c r="D152" s="144" t="str">
        <f t="shared" si="25"/>
        <v>Ostale pomoći</v>
      </c>
      <c r="E152" s="149">
        <v>3212</v>
      </c>
      <c r="F152" s="144" t="str">
        <f t="shared" si="26"/>
        <v>Naknade za prijevoz, za rad na terenu i odvojeni život</v>
      </c>
      <c r="G152" s="183" t="s">
        <v>188</v>
      </c>
      <c r="H152" s="144" t="s">
        <v>1381</v>
      </c>
      <c r="I152" s="182">
        <v>0</v>
      </c>
      <c r="J152" s="182">
        <v>10110</v>
      </c>
      <c r="K152" s="182">
        <f t="shared" si="28"/>
        <v>10110</v>
      </c>
      <c r="M152" s="139" t="str">
        <f t="shared" si="29"/>
        <v>321</v>
      </c>
      <c r="N152" s="139" t="str">
        <f t="shared" si="30"/>
        <v>32</v>
      </c>
      <c r="X152"/>
      <c r="Y152"/>
    </row>
    <row r="153" spans="1:25">
      <c r="A153" s="143" t="str">
        <f>IF(C153="","",VLOOKUP('Opći dio'!$C$3,'Opći dio'!$L$6:$U$137,10,FALSE))</f>
        <v>08006</v>
      </c>
      <c r="B153" s="143" t="str">
        <f>IF(C153="","",VLOOKUP('Opći dio'!$C$3,'Opći dio'!$L$6:$U$137,9,FALSE))</f>
        <v>Sveučilišta i veleučilišta u Republici Hrvatskoj</v>
      </c>
      <c r="C153" s="149">
        <v>52</v>
      </c>
      <c r="D153" s="144" t="str">
        <f t="shared" si="25"/>
        <v>Ostale pomoći</v>
      </c>
      <c r="E153" s="149">
        <v>3213</v>
      </c>
      <c r="F153" s="144" t="str">
        <f t="shared" si="26"/>
        <v>Stručno usavršavanje zaposlenika</v>
      </c>
      <c r="G153" s="183" t="s">
        <v>188</v>
      </c>
      <c r="H153" s="144" t="s">
        <v>1381</v>
      </c>
      <c r="I153" s="182">
        <v>81870</v>
      </c>
      <c r="J153" s="182">
        <v>81870</v>
      </c>
      <c r="K153" s="182">
        <f t="shared" si="28"/>
        <v>0</v>
      </c>
      <c r="M153" s="139" t="str">
        <f t="shared" si="29"/>
        <v>321</v>
      </c>
      <c r="N153" s="139" t="str">
        <f t="shared" si="30"/>
        <v>32</v>
      </c>
      <c r="X153" t="s">
        <v>2226</v>
      </c>
      <c r="Y153" t="s">
        <v>2227</v>
      </c>
    </row>
    <row r="154" spans="1:25">
      <c r="A154" s="143" t="str">
        <f>IF(C154="","",VLOOKUP('Opći dio'!$C$3,'Opći dio'!$L$6:$U$137,10,FALSE))</f>
        <v>08006</v>
      </c>
      <c r="B154" s="143" t="str">
        <f>IF(C154="","",VLOOKUP('Opći dio'!$C$3,'Opći dio'!$L$6:$U$137,9,FALSE))</f>
        <v>Sveučilišta i veleučilišta u Republici Hrvatskoj</v>
      </c>
      <c r="C154" s="149">
        <v>52</v>
      </c>
      <c r="D154" s="144" t="str">
        <f t="shared" si="25"/>
        <v>Ostale pomoći</v>
      </c>
      <c r="E154" s="149">
        <v>3214</v>
      </c>
      <c r="F154" s="144" t="str">
        <f t="shared" si="26"/>
        <v>Ostale naknade troškova zaposlenima</v>
      </c>
      <c r="G154" s="183" t="s">
        <v>188</v>
      </c>
      <c r="H154" s="144" t="s">
        <v>1381</v>
      </c>
      <c r="I154" s="182">
        <v>0</v>
      </c>
      <c r="J154" s="182">
        <v>300</v>
      </c>
      <c r="K154" s="182">
        <f t="shared" si="28"/>
        <v>300</v>
      </c>
      <c r="M154" s="139" t="str">
        <f t="shared" si="29"/>
        <v>321</v>
      </c>
      <c r="N154" s="139" t="str">
        <f t="shared" si="30"/>
        <v>32</v>
      </c>
      <c r="X154"/>
      <c r="Y154"/>
    </row>
    <row r="155" spans="1:25">
      <c r="A155" s="143" t="str">
        <f>IF(C155="","",VLOOKUP('Opći dio'!$C$3,'Opći dio'!$L$6:$U$137,10,FALSE))</f>
        <v>08006</v>
      </c>
      <c r="B155" s="143" t="str">
        <f>IF(C155="","",VLOOKUP('Opći dio'!$C$3,'Opći dio'!$L$6:$U$137,9,FALSE))</f>
        <v>Sveučilišta i veleučilišta u Republici Hrvatskoj</v>
      </c>
      <c r="C155" s="149">
        <v>52</v>
      </c>
      <c r="D155" s="144" t="str">
        <f t="shared" si="25"/>
        <v>Ostale pomoći</v>
      </c>
      <c r="E155" s="149">
        <v>3221</v>
      </c>
      <c r="F155" s="144" t="str">
        <f t="shared" si="26"/>
        <v>Uredski materijal i ostali materijalni rashodi</v>
      </c>
      <c r="G155" s="183" t="s">
        <v>188</v>
      </c>
      <c r="H155" s="144" t="s">
        <v>1381</v>
      </c>
      <c r="I155" s="182">
        <v>413851</v>
      </c>
      <c r="J155" s="182">
        <v>413851</v>
      </c>
      <c r="K155" s="182">
        <f t="shared" si="28"/>
        <v>0</v>
      </c>
      <c r="M155" s="139" t="str">
        <f t="shared" si="29"/>
        <v>322</v>
      </c>
      <c r="N155" s="139" t="str">
        <f t="shared" si="30"/>
        <v>32</v>
      </c>
      <c r="X155" t="s">
        <v>52</v>
      </c>
      <c r="Y155" t="s">
        <v>53</v>
      </c>
    </row>
    <row r="156" spans="1:25">
      <c r="A156" s="143" t="str">
        <f>IF(C156="","",VLOOKUP('Opći dio'!$C$3,'Opći dio'!$L$6:$U$137,10,FALSE))</f>
        <v>08006</v>
      </c>
      <c r="B156" s="143" t="str">
        <f>IF(C156="","",VLOOKUP('Opći dio'!$C$3,'Opći dio'!$L$6:$U$137,9,FALSE))</f>
        <v>Sveučilišta i veleučilišta u Republici Hrvatskoj</v>
      </c>
      <c r="C156" s="149">
        <v>52</v>
      </c>
      <c r="D156" s="144" t="str">
        <f t="shared" si="25"/>
        <v>Ostale pomoći</v>
      </c>
      <c r="E156" s="149">
        <v>3222</v>
      </c>
      <c r="F156" s="144" t="str">
        <f t="shared" si="26"/>
        <v>Materijal i sirovine</v>
      </c>
      <c r="G156" s="183" t="s">
        <v>188</v>
      </c>
      <c r="H156" s="144" t="s">
        <v>1381</v>
      </c>
      <c r="I156" s="182">
        <v>1637</v>
      </c>
      <c r="J156" s="182">
        <v>1637</v>
      </c>
      <c r="K156" s="182">
        <f t="shared" si="28"/>
        <v>0</v>
      </c>
      <c r="M156" s="139" t="str">
        <f t="shared" si="29"/>
        <v>322</v>
      </c>
      <c r="N156" s="139" t="str">
        <f t="shared" si="30"/>
        <v>32</v>
      </c>
      <c r="X156" t="s">
        <v>62</v>
      </c>
      <c r="Y156" t="s">
        <v>63</v>
      </c>
    </row>
    <row r="157" spans="1:25">
      <c r="A157" s="143" t="str">
        <f>IF(C157="","",VLOOKUP('Opći dio'!$C$3,'Opći dio'!$L$6:$U$137,10,FALSE))</f>
        <v>08006</v>
      </c>
      <c r="B157" s="143" t="str">
        <f>IF(C157="","",VLOOKUP('Opći dio'!$C$3,'Opći dio'!$L$6:$U$137,9,FALSE))</f>
        <v>Sveučilišta i veleučilišta u Republici Hrvatskoj</v>
      </c>
      <c r="C157" s="149">
        <v>52</v>
      </c>
      <c r="D157" s="144" t="str">
        <f t="shared" si="25"/>
        <v>Ostale pomoći</v>
      </c>
      <c r="E157" s="149">
        <v>3223</v>
      </c>
      <c r="F157" s="144" t="str">
        <f t="shared" si="26"/>
        <v>Energija</v>
      </c>
      <c r="G157" s="183" t="s">
        <v>188</v>
      </c>
      <c r="H157" s="144" t="s">
        <v>1381</v>
      </c>
      <c r="I157" s="182">
        <v>0</v>
      </c>
      <c r="J157" s="182">
        <v>800</v>
      </c>
      <c r="K157" s="182">
        <f t="shared" si="28"/>
        <v>800</v>
      </c>
      <c r="M157" s="139" t="str">
        <f t="shared" si="29"/>
        <v>322</v>
      </c>
      <c r="N157" s="139" t="str">
        <f t="shared" si="30"/>
        <v>32</v>
      </c>
      <c r="X157"/>
      <c r="Y157"/>
    </row>
    <row r="158" spans="1:25">
      <c r="A158" s="143" t="str">
        <f>IF(C158="","",VLOOKUP('Opći dio'!$C$3,'Opći dio'!$L$6:$U$137,10,FALSE))</f>
        <v>08006</v>
      </c>
      <c r="B158" s="143" t="str">
        <f>IF(C158="","",VLOOKUP('Opći dio'!$C$3,'Opći dio'!$L$6:$U$137,9,FALSE))</f>
        <v>Sveučilišta i veleučilišta u Republici Hrvatskoj</v>
      </c>
      <c r="C158" s="149">
        <v>52</v>
      </c>
      <c r="D158" s="144" t="str">
        <f t="shared" si="25"/>
        <v>Ostale pomoći</v>
      </c>
      <c r="E158" s="149">
        <v>3224</v>
      </c>
      <c r="F158" s="144" t="str">
        <f t="shared" si="26"/>
        <v>Materijal i dijelovi za tekuće i investicijsko održavanje</v>
      </c>
      <c r="G158" s="183" t="s">
        <v>188</v>
      </c>
      <c r="H158" s="144" t="s">
        <v>1381</v>
      </c>
      <c r="I158" s="182">
        <v>12281</v>
      </c>
      <c r="J158" s="182">
        <v>12281</v>
      </c>
      <c r="K158" s="182">
        <f t="shared" si="28"/>
        <v>0</v>
      </c>
      <c r="M158" s="139" t="str">
        <f t="shared" si="29"/>
        <v>322</v>
      </c>
      <c r="N158" s="139" t="str">
        <f t="shared" si="30"/>
        <v>32</v>
      </c>
      <c r="X158" t="s">
        <v>2073</v>
      </c>
      <c r="Y158" t="s">
        <v>1051</v>
      </c>
    </row>
    <row r="159" spans="1:25">
      <c r="A159" s="143" t="str">
        <f>IF(C159="","",VLOOKUP('Opći dio'!$C$3,'Opći dio'!$L$6:$U$137,10,FALSE))</f>
        <v>08006</v>
      </c>
      <c r="B159" s="143" t="str">
        <f>IF(C159="","",VLOOKUP('Opći dio'!$C$3,'Opći dio'!$L$6:$U$137,9,FALSE))</f>
        <v>Sveučilišta i veleučilišta u Republici Hrvatskoj</v>
      </c>
      <c r="C159" s="149">
        <v>52</v>
      </c>
      <c r="D159" s="144" t="str">
        <f t="shared" si="25"/>
        <v>Ostale pomoći</v>
      </c>
      <c r="E159" s="149">
        <v>3225</v>
      </c>
      <c r="F159" s="144" t="str">
        <f t="shared" si="26"/>
        <v>Sitni inventar i auto gume</v>
      </c>
      <c r="G159" s="183" t="s">
        <v>188</v>
      </c>
      <c r="H159" s="144" t="s">
        <v>1381</v>
      </c>
      <c r="I159" s="182">
        <v>0</v>
      </c>
      <c r="J159" s="182">
        <v>235607</v>
      </c>
      <c r="K159" s="182">
        <f t="shared" si="28"/>
        <v>235607</v>
      </c>
      <c r="M159" s="139" t="str">
        <f t="shared" si="29"/>
        <v>322</v>
      </c>
      <c r="N159" s="139" t="str">
        <f t="shared" si="30"/>
        <v>32</v>
      </c>
      <c r="X159"/>
      <c r="Y159"/>
    </row>
    <row r="160" spans="1:25">
      <c r="A160" s="143" t="str">
        <f>IF(C160="","",VLOOKUP('Opći dio'!$C$3,'Opći dio'!$L$6:$U$137,10,FALSE))</f>
        <v>08006</v>
      </c>
      <c r="B160" s="143" t="str">
        <f>IF(C160="","",VLOOKUP('Opći dio'!$C$3,'Opći dio'!$L$6:$U$137,9,FALSE))</f>
        <v>Sveučilišta i veleučilišta u Republici Hrvatskoj</v>
      </c>
      <c r="C160" s="149">
        <v>52</v>
      </c>
      <c r="D160" s="144" t="str">
        <f t="shared" si="25"/>
        <v>Ostale pomoći</v>
      </c>
      <c r="E160" s="149">
        <v>3231</v>
      </c>
      <c r="F160" s="144" t="str">
        <f t="shared" si="26"/>
        <v>Usluge telefona, pošte i prijevoza</v>
      </c>
      <c r="G160" s="183" t="s">
        <v>188</v>
      </c>
      <c r="H160" s="144" t="s">
        <v>1381</v>
      </c>
      <c r="I160" s="182">
        <v>0</v>
      </c>
      <c r="J160" s="182">
        <v>7000</v>
      </c>
      <c r="K160" s="182">
        <f t="shared" si="28"/>
        <v>7000</v>
      </c>
      <c r="M160" s="139" t="str">
        <f t="shared" si="29"/>
        <v>323</v>
      </c>
      <c r="N160" s="139" t="str">
        <f t="shared" si="30"/>
        <v>32</v>
      </c>
      <c r="X160"/>
      <c r="Y160"/>
    </row>
    <row r="161" spans="1:25">
      <c r="A161" s="143" t="str">
        <f>IF(C161="","",VLOOKUP('Opći dio'!$C$3,'Opći dio'!$L$6:$U$137,10,FALSE))</f>
        <v>08006</v>
      </c>
      <c r="B161" s="143" t="str">
        <f>IF(C161="","",VLOOKUP('Opći dio'!$C$3,'Opći dio'!$L$6:$U$137,9,FALSE))</f>
        <v>Sveučilišta i veleučilišta u Republici Hrvatskoj</v>
      </c>
      <c r="C161" s="149">
        <v>52</v>
      </c>
      <c r="D161" s="144" t="str">
        <f t="shared" ref="D161:D219" si="31">IFERROR(VLOOKUP(C161,$O$6:$P$23,2,FALSE),"")</f>
        <v>Ostale pomoći</v>
      </c>
      <c r="E161" s="149">
        <v>3233</v>
      </c>
      <c r="F161" s="144" t="str">
        <f t="shared" si="26"/>
        <v>Usluge promidžbe i informiranja</v>
      </c>
      <c r="G161" s="183" t="s">
        <v>188</v>
      </c>
      <c r="H161" s="144" t="s">
        <v>1381</v>
      </c>
      <c r="I161" s="182">
        <v>159161</v>
      </c>
      <c r="J161" s="182">
        <v>159161</v>
      </c>
      <c r="K161" s="182">
        <f t="shared" si="28"/>
        <v>0</v>
      </c>
      <c r="M161" s="139" t="str">
        <f t="shared" si="29"/>
        <v>323</v>
      </c>
      <c r="N161" s="139" t="str">
        <f t="shared" si="30"/>
        <v>32</v>
      </c>
      <c r="X161" t="s">
        <v>1052</v>
      </c>
      <c r="Y161" t="s">
        <v>1053</v>
      </c>
    </row>
    <row r="162" spans="1:25">
      <c r="A162" s="143" t="str">
        <f>IF(C162="","",VLOOKUP('Opći dio'!$C$3,'Opći dio'!$L$6:$U$137,10,FALSE))</f>
        <v>08006</v>
      </c>
      <c r="B162" s="143" t="str">
        <f>IF(C162="","",VLOOKUP('Opći dio'!$C$3,'Opći dio'!$L$6:$U$137,9,FALSE))</f>
        <v>Sveučilišta i veleučilišta u Republici Hrvatskoj</v>
      </c>
      <c r="C162" s="149">
        <v>52</v>
      </c>
      <c r="D162" s="144" t="s">
        <v>113</v>
      </c>
      <c r="E162" s="149">
        <v>3235</v>
      </c>
      <c r="F162" s="144" t="str">
        <f t="shared" si="26"/>
        <v>Zakupnine i najamnine</v>
      </c>
      <c r="G162" s="183" t="s">
        <v>188</v>
      </c>
      <c r="H162" s="144" t="s">
        <v>1381</v>
      </c>
      <c r="I162" s="182">
        <v>0</v>
      </c>
      <c r="J162" s="182">
        <v>1250</v>
      </c>
      <c r="K162" s="182">
        <f t="shared" si="28"/>
        <v>1250</v>
      </c>
      <c r="M162" s="139" t="str">
        <f t="shared" si="29"/>
        <v>323</v>
      </c>
      <c r="N162" s="139" t="str">
        <f t="shared" si="30"/>
        <v>32</v>
      </c>
      <c r="X162"/>
      <c r="Y162"/>
    </row>
    <row r="163" spans="1:25">
      <c r="A163" s="143" t="str">
        <f>IF(C163="","",VLOOKUP('Opći dio'!$C$3,'Opći dio'!$L$6:$U$137,10,FALSE))</f>
        <v>08006</v>
      </c>
      <c r="B163" s="143" t="str">
        <f>IF(C163="","",VLOOKUP('Opći dio'!$C$3,'Opći dio'!$L$6:$U$137,9,FALSE))</f>
        <v>Sveučilišta i veleučilišta u Republici Hrvatskoj</v>
      </c>
      <c r="C163" s="149">
        <v>52</v>
      </c>
      <c r="D163" s="144" t="s">
        <v>113</v>
      </c>
      <c r="E163" s="149">
        <v>3237</v>
      </c>
      <c r="F163" s="144" t="str">
        <f t="shared" si="26"/>
        <v>Intelektualne i osobne usluge</v>
      </c>
      <c r="G163" s="183" t="s">
        <v>188</v>
      </c>
      <c r="H163" s="144" t="s">
        <v>1381</v>
      </c>
      <c r="I163" s="182">
        <v>0</v>
      </c>
      <c r="J163" s="182">
        <v>580456</v>
      </c>
      <c r="K163" s="182">
        <f t="shared" si="28"/>
        <v>580456</v>
      </c>
      <c r="M163" s="139" t="str">
        <f t="shared" si="29"/>
        <v>323</v>
      </c>
      <c r="N163" s="139" t="str">
        <f t="shared" si="30"/>
        <v>32</v>
      </c>
      <c r="X163"/>
      <c r="Y163"/>
    </row>
    <row r="164" spans="1:25">
      <c r="A164" s="143" t="str">
        <f>IF(C164="","",VLOOKUP('Opći dio'!$C$3,'Opći dio'!$L$6:$U$137,10,FALSE))</f>
        <v>08006</v>
      </c>
      <c r="B164" s="143" t="str">
        <f>IF(C164="","",VLOOKUP('Opći dio'!$C$3,'Opći dio'!$L$6:$U$137,9,FALSE))</f>
        <v>Sveučilišta i veleučilišta u Republici Hrvatskoj</v>
      </c>
      <c r="C164" s="149">
        <v>52</v>
      </c>
      <c r="D164" s="144" t="s">
        <v>113</v>
      </c>
      <c r="E164" s="149">
        <v>3239</v>
      </c>
      <c r="F164" s="144" t="str">
        <f t="shared" ref="F164" si="32">IFERROR(VLOOKUP(E164,$R$5:$T$144,2,FALSE),"")</f>
        <v>Ostale usluge</v>
      </c>
      <c r="G164" s="183" t="s">
        <v>188</v>
      </c>
      <c r="H164" s="144" t="s">
        <v>1381</v>
      </c>
      <c r="I164" s="182">
        <v>0</v>
      </c>
      <c r="J164" s="182">
        <v>205828</v>
      </c>
      <c r="K164" s="182">
        <f t="shared" si="28"/>
        <v>205828</v>
      </c>
      <c r="M164" s="139" t="str">
        <f t="shared" si="29"/>
        <v>323</v>
      </c>
      <c r="N164" s="139" t="str">
        <f t="shared" si="30"/>
        <v>32</v>
      </c>
      <c r="X164"/>
      <c r="Y164"/>
    </row>
    <row r="165" spans="1:25">
      <c r="A165" s="143" t="str">
        <f>IF(C165="","",VLOOKUP('Opći dio'!$C$3,'Opći dio'!$L$6:$U$137,10,FALSE))</f>
        <v>08006</v>
      </c>
      <c r="B165" s="143" t="str">
        <f>IF(C165="","",VLOOKUP('Opći dio'!$C$3,'Opći dio'!$L$6:$U$137,9,FALSE))</f>
        <v>Sveučilišta i veleučilišta u Republici Hrvatskoj</v>
      </c>
      <c r="C165" s="149">
        <v>52</v>
      </c>
      <c r="D165" s="144" t="s">
        <v>113</v>
      </c>
      <c r="E165" s="149" t="s">
        <v>3495</v>
      </c>
      <c r="F165" s="144" t="str">
        <f>+F124</f>
        <v>Reprezentacija</v>
      </c>
      <c r="G165" s="183" t="s">
        <v>188</v>
      </c>
      <c r="H165" s="144" t="s">
        <v>1381</v>
      </c>
      <c r="I165" s="182">
        <v>0</v>
      </c>
      <c r="J165" s="182">
        <v>73450</v>
      </c>
      <c r="K165" s="182">
        <f t="shared" si="28"/>
        <v>73450</v>
      </c>
      <c r="X165"/>
      <c r="Y165"/>
    </row>
    <row r="166" spans="1:25">
      <c r="A166" s="143" t="str">
        <f>IF(C166="","",VLOOKUP('Opći dio'!$C$3,'Opći dio'!$L$6:$U$137,10,FALSE))</f>
        <v>08006</v>
      </c>
      <c r="B166" s="143" t="str">
        <f>IF(C166="","",VLOOKUP('Opći dio'!$C$3,'Opći dio'!$L$6:$U$137,9,FALSE))</f>
        <v>Sveučilišta i veleučilišta u Republici Hrvatskoj</v>
      </c>
      <c r="C166" s="149">
        <v>52</v>
      </c>
      <c r="D166" s="144" t="s">
        <v>113</v>
      </c>
      <c r="E166" s="149" t="s">
        <v>3496</v>
      </c>
      <c r="F166" s="144" t="str">
        <f>+F125</f>
        <v>Članarine i norme</v>
      </c>
      <c r="G166" s="183" t="s">
        <v>188</v>
      </c>
      <c r="H166" s="144" t="s">
        <v>1381</v>
      </c>
      <c r="I166" s="182">
        <v>0</v>
      </c>
      <c r="J166" s="182">
        <v>35297</v>
      </c>
      <c r="K166" s="182">
        <f t="shared" si="28"/>
        <v>35297</v>
      </c>
      <c r="X166"/>
      <c r="Y166"/>
    </row>
    <row r="167" spans="1:25">
      <c r="A167" s="143" t="str">
        <f>IF(C167="","",VLOOKUP('Opći dio'!$C$3,'Opći dio'!$L$6:$U$137,10,FALSE))</f>
        <v>08006</v>
      </c>
      <c r="B167" s="143" t="str">
        <f>IF(C167="","",VLOOKUP('Opći dio'!$C$3,'Opći dio'!$L$6:$U$137,9,FALSE))</f>
        <v>Sveučilišta i veleučilišta u Republici Hrvatskoj</v>
      </c>
      <c r="C167" s="149">
        <v>52</v>
      </c>
      <c r="D167" s="144" t="s">
        <v>113</v>
      </c>
      <c r="E167" s="149" t="s">
        <v>3497</v>
      </c>
      <c r="F167" s="144" t="str">
        <f>+F128</f>
        <v>Bankarske usluge i usluge platnog prometa</v>
      </c>
      <c r="G167" s="183" t="s">
        <v>188</v>
      </c>
      <c r="H167" s="144" t="s">
        <v>1381</v>
      </c>
      <c r="I167" s="182">
        <v>0</v>
      </c>
      <c r="J167" s="182">
        <v>645</v>
      </c>
      <c r="K167" s="182">
        <f t="shared" si="28"/>
        <v>645</v>
      </c>
      <c r="X167"/>
      <c r="Y167"/>
    </row>
    <row r="168" spans="1:25">
      <c r="A168" s="143" t="str">
        <f>IF(C168="","",VLOOKUP('Opći dio'!$C$3,'Opći dio'!$L$6:$U$137,10,FALSE))</f>
        <v>08006</v>
      </c>
      <c r="B168" s="143" t="str">
        <f>IF(C168="","",VLOOKUP('Opći dio'!$C$3,'Opći dio'!$L$6:$U$137,9,FALSE))</f>
        <v>Sveučilišta i veleučilišta u Republici Hrvatskoj</v>
      </c>
      <c r="C168" s="149">
        <v>52</v>
      </c>
      <c r="D168" s="144" t="s">
        <v>113</v>
      </c>
      <c r="E168" s="149" t="s">
        <v>3498</v>
      </c>
      <c r="F168" s="144" t="str">
        <f>+F132</f>
        <v>Naknade građanima i kućanstvima u novcu</v>
      </c>
      <c r="G168" s="183" t="s">
        <v>188</v>
      </c>
      <c r="H168" s="144" t="s">
        <v>1381</v>
      </c>
      <c r="I168" s="182">
        <v>0</v>
      </c>
      <c r="J168" s="182">
        <v>23000</v>
      </c>
      <c r="K168" s="182">
        <f t="shared" si="28"/>
        <v>23000</v>
      </c>
      <c r="X168"/>
      <c r="Y168"/>
    </row>
    <row r="169" spans="1:25">
      <c r="A169" s="143" t="str">
        <f>IF(C169="","",VLOOKUP('Opći dio'!$C$3,'Opći dio'!$L$6:$U$137,10,FALSE))</f>
        <v>08006</v>
      </c>
      <c r="B169" s="143" t="str">
        <f>IF(C169="","",VLOOKUP('Opći dio'!$C$3,'Opći dio'!$L$6:$U$137,9,FALSE))</f>
        <v>Sveučilišta i veleučilišta u Republici Hrvatskoj</v>
      </c>
      <c r="C169" s="149">
        <v>52</v>
      </c>
      <c r="D169" s="144" t="s">
        <v>113</v>
      </c>
      <c r="E169" s="149" t="s">
        <v>3499</v>
      </c>
      <c r="F169" s="144" t="str">
        <f>+F133</f>
        <v>Licence</v>
      </c>
      <c r="G169" s="183" t="s">
        <v>188</v>
      </c>
      <c r="H169" s="144" t="s">
        <v>1381</v>
      </c>
      <c r="I169" s="182">
        <v>0</v>
      </c>
      <c r="J169" s="182">
        <v>5492</v>
      </c>
      <c r="K169" s="182">
        <f t="shared" si="28"/>
        <v>5492</v>
      </c>
      <c r="X169"/>
      <c r="Y169"/>
    </row>
    <row r="170" spans="1:25">
      <c r="A170" s="143" t="str">
        <f>IF(C170="","",VLOOKUP('Opći dio'!$C$3,'Opći dio'!$L$6:$U$137,10,FALSE))</f>
        <v>08006</v>
      </c>
      <c r="B170" s="143" t="str">
        <f>IF(C170="","",VLOOKUP('Opći dio'!$C$3,'Opći dio'!$L$6:$U$137,9,FALSE))</f>
        <v>Sveučilišta i veleučilišta u Republici Hrvatskoj</v>
      </c>
      <c r="C170" s="149">
        <v>52</v>
      </c>
      <c r="D170" s="144" t="s">
        <v>113</v>
      </c>
      <c r="E170" s="149" t="s">
        <v>3500</v>
      </c>
      <c r="F170" s="144" t="str">
        <f>+F136</f>
        <v>Uredska oprema i namještaj</v>
      </c>
      <c r="G170" s="183" t="s">
        <v>188</v>
      </c>
      <c r="H170" s="144" t="s">
        <v>1381</v>
      </c>
      <c r="I170" s="182">
        <v>0</v>
      </c>
      <c r="J170" s="182">
        <v>37194</v>
      </c>
      <c r="K170" s="182">
        <f t="shared" si="28"/>
        <v>37194</v>
      </c>
      <c r="X170"/>
      <c r="Y170"/>
    </row>
    <row r="171" spans="1:25">
      <c r="A171" s="143" t="str">
        <f>IF(C171="","",VLOOKUP('Opći dio'!$C$3,'Opći dio'!$L$6:$U$137,10,FALSE))</f>
        <v>08006</v>
      </c>
      <c r="B171" s="143" t="str">
        <f>IF(C171="","",VLOOKUP('Opći dio'!$C$3,'Opći dio'!$L$6:$U$137,9,FALSE))</f>
        <v>Sveučilišta i veleučilišta u Republici Hrvatskoj</v>
      </c>
      <c r="C171" s="149">
        <v>52</v>
      </c>
      <c r="D171" s="144" t="s">
        <v>113</v>
      </c>
      <c r="E171" s="149" t="s">
        <v>3501</v>
      </c>
      <c r="F171" s="144" t="str">
        <f>+F143</f>
        <v>Knjige</v>
      </c>
      <c r="G171" s="183" t="s">
        <v>188</v>
      </c>
      <c r="H171" s="144" t="s">
        <v>1381</v>
      </c>
      <c r="I171" s="182">
        <v>0</v>
      </c>
      <c r="J171" s="182">
        <v>8431</v>
      </c>
      <c r="K171" s="182">
        <f t="shared" si="28"/>
        <v>8431</v>
      </c>
      <c r="X171"/>
      <c r="Y171"/>
    </row>
    <row r="172" spans="1:25">
      <c r="A172" s="143" t="str">
        <f>IF(C172="","",VLOOKUP('Opći dio'!$C$3,'Opći dio'!$L$6:$U$137,10,FALSE))</f>
        <v>08006</v>
      </c>
      <c r="B172" s="143" t="str">
        <f>IF(C172="","",VLOOKUP('Opći dio'!$C$3,'Opći dio'!$L$6:$U$137,9,FALSE))</f>
        <v>Sveučilišta i veleučilišta u Republici Hrvatskoj</v>
      </c>
      <c r="C172" s="149">
        <v>52</v>
      </c>
      <c r="D172" s="144" t="s">
        <v>113</v>
      </c>
      <c r="E172" s="149" t="s">
        <v>3502</v>
      </c>
      <c r="F172" s="144" t="str">
        <f>+F144</f>
        <v>Ulaganja u računalne programe</v>
      </c>
      <c r="G172" s="183" t="s">
        <v>188</v>
      </c>
      <c r="H172" s="144" t="s">
        <v>1381</v>
      </c>
      <c r="I172" s="182">
        <v>0</v>
      </c>
      <c r="J172" s="182">
        <v>5072</v>
      </c>
      <c r="K172" s="182">
        <f t="shared" si="28"/>
        <v>5072</v>
      </c>
      <c r="X172"/>
      <c r="Y172"/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31"/>
        <v/>
      </c>
      <c r="E173" s="149"/>
      <c r="F173" s="144" t="str">
        <f t="shared" ref="F173:F236" si="33">IFERROR(VLOOKUP(E173,$R$5:$T$144,2,FALSE),"")</f>
        <v/>
      </c>
      <c r="G173" s="183"/>
      <c r="H173" s="144"/>
      <c r="I173" s="182"/>
      <c r="J173" s="182"/>
      <c r="K173" s="182"/>
      <c r="M173" s="139" t="str">
        <f t="shared" si="29"/>
        <v/>
      </c>
      <c r="N173" s="139" t="str">
        <f t="shared" si="30"/>
        <v/>
      </c>
      <c r="X173" t="s">
        <v>768</v>
      </c>
      <c r="Y173" t="s">
        <v>769</v>
      </c>
    </row>
    <row r="174" spans="1:25">
      <c r="A174" s="143" t="str">
        <f>IF(C174="","",VLOOKUP('Opći dio'!$C$3,'Opći dio'!$L$6:$U$137,10,FALSE))</f>
        <v>08006</v>
      </c>
      <c r="B174" s="143" t="str">
        <f>IF(C174="","",VLOOKUP('Opći dio'!$C$3,'Opći dio'!$L$6:$U$137,9,FALSE))</f>
        <v>Sveučilišta i veleučilišta u Republici Hrvatskoj</v>
      </c>
      <c r="C174" s="149">
        <v>61</v>
      </c>
      <c r="D174" s="144" t="str">
        <f>IFERROR(VLOOKUP(C174,$O$6:$P$23,2,FALSE),"")</f>
        <v>Donacije</v>
      </c>
      <c r="E174" s="149">
        <v>3211</v>
      </c>
      <c r="F174" s="144" t="str">
        <f t="shared" si="33"/>
        <v>Službena putovanja</v>
      </c>
      <c r="G174" s="183" t="s">
        <v>188</v>
      </c>
      <c r="H174" s="144" t="s">
        <v>1381</v>
      </c>
      <c r="I174" s="182">
        <v>3124</v>
      </c>
      <c r="J174" s="182">
        <v>3124</v>
      </c>
      <c r="K174" s="182">
        <f>+J174-I174</f>
        <v>0</v>
      </c>
      <c r="M174" s="139" t="str">
        <f t="shared" ref="M174:M181" si="34">LEFT(E174,3)</f>
        <v>321</v>
      </c>
      <c r="N174" s="139" t="str">
        <f t="shared" ref="N174:N181" si="35">LEFT(E174,2)</f>
        <v>32</v>
      </c>
      <c r="X174" t="s">
        <v>65</v>
      </c>
      <c r="Y174" t="s">
        <v>66</v>
      </c>
    </row>
    <row r="175" spans="1:25">
      <c r="A175" s="143" t="str">
        <f>IF(C175="","",VLOOKUP('Opći dio'!$C$3,'Opći dio'!$L$6:$U$137,10,FALSE))</f>
        <v>08006</v>
      </c>
      <c r="B175" s="143" t="str">
        <f>IF(C175="","",VLOOKUP('Opći dio'!$C$3,'Opći dio'!$L$6:$U$137,9,FALSE))</f>
        <v>Sveučilišta i veleučilišta u Republici Hrvatskoj</v>
      </c>
      <c r="C175" s="149">
        <v>61</v>
      </c>
      <c r="D175" s="144" t="str">
        <f>IFERROR(VLOOKUP(C175,$O$6:$P$23,2,FALSE),"")</f>
        <v>Donacije</v>
      </c>
      <c r="E175" s="149">
        <v>3237</v>
      </c>
      <c r="F175" s="144" t="str">
        <f t="shared" si="33"/>
        <v>Intelektualne i osobne usluge</v>
      </c>
      <c r="G175" s="183" t="s">
        <v>188</v>
      </c>
      <c r="H175" s="144" t="s">
        <v>1381</v>
      </c>
      <c r="I175" s="182">
        <v>9377</v>
      </c>
      <c r="J175" s="182">
        <v>9377</v>
      </c>
      <c r="K175" s="182">
        <f>+J175-I175</f>
        <v>0</v>
      </c>
      <c r="M175" s="139" t="str">
        <f t="shared" si="34"/>
        <v>323</v>
      </c>
      <c r="N175" s="139" t="str">
        <f t="shared" si="35"/>
        <v>32</v>
      </c>
      <c r="X175" t="s">
        <v>67</v>
      </c>
      <c r="Y175" t="s">
        <v>68</v>
      </c>
    </row>
    <row r="176" spans="1:25">
      <c r="A176" s="143" t="str">
        <f>IF(C176="","",VLOOKUP('Opći dio'!$C$3,'Opći dio'!$L$6:$U$137,10,FALSE))</f>
        <v>08006</v>
      </c>
      <c r="B176" s="143" t="str">
        <f>IF(C176="","",VLOOKUP('Opći dio'!$C$3,'Opći dio'!$L$6:$U$137,9,FALSE))</f>
        <v>Sveučilišta i veleučilišta u Republici Hrvatskoj</v>
      </c>
      <c r="C176" s="149">
        <v>61</v>
      </c>
      <c r="D176" s="144" t="str">
        <f>IFERROR(VLOOKUP(C176,$O$6:$P$23,2,FALSE),"")</f>
        <v>Donacije</v>
      </c>
      <c r="E176" s="149">
        <v>3239</v>
      </c>
      <c r="F176" s="144" t="str">
        <f t="shared" si="33"/>
        <v>Ostale usluge</v>
      </c>
      <c r="G176" s="183" t="s">
        <v>188</v>
      </c>
      <c r="H176" s="144" t="s">
        <v>1381</v>
      </c>
      <c r="I176" s="182">
        <v>9377</v>
      </c>
      <c r="J176" s="182">
        <v>9377</v>
      </c>
      <c r="K176" s="182">
        <f>+J176-I176</f>
        <v>0</v>
      </c>
      <c r="M176" s="139" t="str">
        <f t="shared" si="34"/>
        <v>323</v>
      </c>
      <c r="N176" s="139" t="str">
        <f t="shared" si="35"/>
        <v>32</v>
      </c>
      <c r="X176" t="s">
        <v>770</v>
      </c>
      <c r="Y176" t="s">
        <v>771</v>
      </c>
    </row>
    <row r="177" spans="1:25">
      <c r="A177" s="143" t="str">
        <f>IF(C177="","",VLOOKUP('Opći dio'!$C$3,'Opći dio'!$L$6:$U$137,10,FALSE))</f>
        <v>08006</v>
      </c>
      <c r="B177" s="143" t="str">
        <f>IF(C177="","",VLOOKUP('Opći dio'!$C$3,'Opći dio'!$L$6:$U$137,9,FALSE))</f>
        <v>Sveučilišta i veleučilišta u Republici Hrvatskoj</v>
      </c>
      <c r="C177" s="149">
        <v>61</v>
      </c>
      <c r="D177" s="144" t="str">
        <f t="shared" ref="D177:D180" si="36">IFERROR(VLOOKUP(C177,$O$6:$P$23,2,FALSE),"")</f>
        <v>Donacije</v>
      </c>
      <c r="E177" s="149">
        <v>3293</v>
      </c>
      <c r="F177" s="144" t="str">
        <f t="shared" si="33"/>
        <v>Reprezentacija</v>
      </c>
      <c r="G177" s="183" t="s">
        <v>188</v>
      </c>
      <c r="H177" s="144" t="s">
        <v>1381</v>
      </c>
      <c r="I177" s="182">
        <v>9377</v>
      </c>
      <c r="J177" s="182">
        <v>9377</v>
      </c>
      <c r="K177" s="182">
        <f>+J177-I177</f>
        <v>0</v>
      </c>
      <c r="M177" s="139" t="str">
        <f t="shared" si="34"/>
        <v>329</v>
      </c>
      <c r="N177" s="139" t="str">
        <f t="shared" si="35"/>
        <v>32</v>
      </c>
      <c r="X177" t="s">
        <v>72</v>
      </c>
      <c r="Y177" t="s">
        <v>73</v>
      </c>
    </row>
    <row r="178" spans="1:25">
      <c r="A178" s="143" t="str">
        <f>IF(C178="","",VLOOKUP('Opći dio'!$C$3,'Opći dio'!$L$6:$U$137,10,FALSE))</f>
        <v>08006</v>
      </c>
      <c r="B178" s="143" t="str">
        <f>IF(C178="","",VLOOKUP('Opći dio'!$C$3,'Opći dio'!$L$6:$U$137,9,FALSE))</f>
        <v>Sveučilišta i veleučilišta u Republici Hrvatskoj</v>
      </c>
      <c r="C178" s="149">
        <v>61</v>
      </c>
      <c r="D178" s="144" t="str">
        <f t="shared" si="36"/>
        <v>Donacije</v>
      </c>
      <c r="E178" s="149">
        <v>3721</v>
      </c>
      <c r="F178" s="144" t="str">
        <f t="shared" si="33"/>
        <v>Naknade građanima i kućanstvima u novcu</v>
      </c>
      <c r="G178" s="183" t="s">
        <v>188</v>
      </c>
      <c r="H178" s="144" t="s">
        <v>1381</v>
      </c>
      <c r="I178" s="182">
        <v>25004</v>
      </c>
      <c r="J178" s="182">
        <v>25004</v>
      </c>
      <c r="K178" s="182">
        <f>+J178-I178</f>
        <v>0</v>
      </c>
      <c r="M178" s="139" t="str">
        <f t="shared" si="34"/>
        <v>372</v>
      </c>
      <c r="N178" s="139" t="str">
        <f t="shared" si="35"/>
        <v>37</v>
      </c>
      <c r="X178" t="s">
        <v>74</v>
      </c>
      <c r="Y178" t="s">
        <v>75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36"/>
        <v/>
      </c>
      <c r="E179" s="149"/>
      <c r="F179" s="144" t="str">
        <f t="shared" si="33"/>
        <v/>
      </c>
      <c r="G179" s="183"/>
      <c r="H179" s="144"/>
      <c r="I179" s="182"/>
      <c r="J179" s="182"/>
      <c r="K179" s="182"/>
      <c r="M179" s="139" t="str">
        <f t="shared" si="34"/>
        <v/>
      </c>
      <c r="N179" s="139" t="str">
        <f t="shared" si="35"/>
        <v/>
      </c>
      <c r="X179" t="s">
        <v>76</v>
      </c>
      <c r="Y179" t="s">
        <v>77</v>
      </c>
    </row>
    <row r="180" spans="1:25">
      <c r="A180" s="143" t="str">
        <f>IF(C180="","",VLOOKUP('Opći dio'!$C$3,'Opći dio'!$L$6:$U$137,10,FALSE))</f>
        <v>08006</v>
      </c>
      <c r="B180" s="143" t="str">
        <f>IF(C180="","",VLOOKUP('Opći dio'!$C$3,'Opći dio'!$L$6:$U$137,9,FALSE))</f>
        <v>Sveučilišta i veleučilišta u Republici Hrvatskoj</v>
      </c>
      <c r="C180" s="149">
        <v>71</v>
      </c>
      <c r="D180" s="144" t="str">
        <f t="shared" si="36"/>
        <v>Prihodi od nefin. imovine i nadoknade štete s osnova osig.</v>
      </c>
      <c r="E180" s="149">
        <v>3232</v>
      </c>
      <c r="F180" s="144" t="str">
        <f t="shared" si="33"/>
        <v>Usluge tekućeg i investicijskog održavanja</v>
      </c>
      <c r="G180" s="183" t="s">
        <v>188</v>
      </c>
      <c r="H180" s="144" t="s">
        <v>1381</v>
      </c>
      <c r="I180" s="182">
        <v>40000</v>
      </c>
      <c r="J180" s="182">
        <v>40000</v>
      </c>
      <c r="K180" s="182">
        <f>+J180-I180</f>
        <v>0</v>
      </c>
      <c r="M180" s="139" t="str">
        <f t="shared" si="34"/>
        <v>323</v>
      </c>
      <c r="N180" s="139" t="str">
        <f t="shared" si="35"/>
        <v>32</v>
      </c>
      <c r="X180" t="s">
        <v>79</v>
      </c>
      <c r="Y180" t="s">
        <v>80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>IFERROR(VLOOKUP(C181,$O$6:$P$23,2,FALSE),"")</f>
        <v/>
      </c>
      <c r="E181" s="149"/>
      <c r="F181" s="144" t="str">
        <f t="shared" si="33"/>
        <v/>
      </c>
      <c r="G181" s="183"/>
      <c r="H181" s="144" t="str">
        <f t="shared" ref="H181:H244" si="37">IFERROR(VLOOKUP(G181,$X$6:$Y$321,2,FALSE),"")</f>
        <v/>
      </c>
      <c r="I181" s="182"/>
      <c r="J181" s="182"/>
      <c r="K181" s="182"/>
      <c r="M181" s="139" t="str">
        <f t="shared" si="34"/>
        <v/>
      </c>
      <c r="N181" s="139" t="str">
        <f t="shared" si="35"/>
        <v/>
      </c>
      <c r="X181" t="s">
        <v>774</v>
      </c>
      <c r="Y181" t="s">
        <v>775</v>
      </c>
    </row>
    <row r="182" spans="1:25">
      <c r="A182" s="143" t="str">
        <f>IF(C182="","",VLOOKUP('Opći dio'!$C$3,'Opći dio'!$L$6:$U$137,10,FALSE))</f>
        <v>08006</v>
      </c>
      <c r="B182" s="143" t="str">
        <f>IF(C182="","",VLOOKUP('Opći dio'!$C$3,'Opći dio'!$L$6:$U$137,9,FALSE))</f>
        <v>Sveučilišta i veleučilišta u Republici Hrvatskoj</v>
      </c>
      <c r="C182" s="149">
        <v>11</v>
      </c>
      <c r="D182" s="144" t="str">
        <f t="shared" si="31"/>
        <v>Opći prihodi i primici</v>
      </c>
      <c r="E182" s="149">
        <v>3111</v>
      </c>
      <c r="F182" s="144" t="str">
        <f t="shared" si="33"/>
        <v>Plaće za redovan rad</v>
      </c>
      <c r="G182" s="183" t="s">
        <v>2073</v>
      </c>
      <c r="H182" s="144" t="str">
        <f t="shared" si="37"/>
        <v>PRAVOMOĆNE SUDSKE PRESUDE</v>
      </c>
      <c r="I182" s="182">
        <v>0</v>
      </c>
      <c r="J182" s="182">
        <v>691940</v>
      </c>
      <c r="K182" s="182">
        <f t="shared" ref="K182" si="38">+J182-I182</f>
        <v>691940</v>
      </c>
      <c r="M182" s="139" t="str">
        <f t="shared" si="29"/>
        <v>311</v>
      </c>
      <c r="N182" s="139" t="str">
        <f t="shared" si="30"/>
        <v>31</v>
      </c>
      <c r="X182" s="139" t="s">
        <v>191</v>
      </c>
      <c r="Y182" s="139" t="s">
        <v>1383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31"/>
        <v/>
      </c>
      <c r="E183" s="149"/>
      <c r="F183" s="144" t="str">
        <f t="shared" si="33"/>
        <v/>
      </c>
      <c r="G183" s="183"/>
      <c r="H183" s="144" t="str">
        <f t="shared" si="37"/>
        <v/>
      </c>
      <c r="I183" s="182"/>
      <c r="J183" s="182"/>
      <c r="K183" s="182"/>
      <c r="M183" s="139" t="str">
        <f t="shared" si="29"/>
        <v/>
      </c>
      <c r="N183" s="139" t="str">
        <f t="shared" si="30"/>
        <v/>
      </c>
      <c r="X183" s="139" t="s">
        <v>197</v>
      </c>
      <c r="Y183" s="139" t="s">
        <v>1384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31"/>
        <v/>
      </c>
      <c r="E184" s="149"/>
      <c r="F184" s="144" t="str">
        <f t="shared" si="33"/>
        <v/>
      </c>
      <c r="G184" s="183"/>
      <c r="H184" s="144" t="str">
        <f t="shared" si="37"/>
        <v/>
      </c>
      <c r="I184" s="182"/>
      <c r="J184" s="182"/>
      <c r="K184" s="182"/>
      <c r="M184" s="139" t="str">
        <f t="shared" si="29"/>
        <v/>
      </c>
      <c r="N184" s="139" t="str">
        <f t="shared" si="30"/>
        <v/>
      </c>
      <c r="X184" s="139" t="s">
        <v>198</v>
      </c>
      <c r="Y184" s="139" t="s">
        <v>1385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31"/>
        <v/>
      </c>
      <c r="E185" s="149"/>
      <c r="F185" s="144" t="str">
        <f t="shared" si="33"/>
        <v/>
      </c>
      <c r="G185" s="183"/>
      <c r="H185" s="144" t="str">
        <f t="shared" si="37"/>
        <v/>
      </c>
      <c r="I185" s="182"/>
      <c r="J185" s="182"/>
      <c r="K185" s="182"/>
      <c r="M185" s="139" t="str">
        <f t="shared" si="29"/>
        <v/>
      </c>
      <c r="N185" s="139" t="str">
        <f t="shared" si="30"/>
        <v/>
      </c>
      <c r="X185" s="139" t="s">
        <v>2114</v>
      </c>
      <c r="Y185" s="139" t="s">
        <v>2115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31"/>
        <v/>
      </c>
      <c r="E186" s="149"/>
      <c r="F186" s="144" t="str">
        <f t="shared" si="33"/>
        <v/>
      </c>
      <c r="G186" s="183"/>
      <c r="H186" s="144" t="str">
        <f t="shared" si="37"/>
        <v/>
      </c>
      <c r="I186" s="182"/>
      <c r="J186" s="182"/>
      <c r="K186" s="182"/>
      <c r="M186" s="139" t="str">
        <f t="shared" si="29"/>
        <v/>
      </c>
      <c r="N186" s="139" t="str">
        <f t="shared" si="30"/>
        <v/>
      </c>
      <c r="X186" s="139" t="s">
        <v>766</v>
      </c>
      <c r="Y186" s="139" t="s">
        <v>767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31"/>
        <v/>
      </c>
      <c r="E187" s="149"/>
      <c r="F187" s="144" t="str">
        <f t="shared" si="33"/>
        <v/>
      </c>
      <c r="G187" s="183"/>
      <c r="H187" s="144" t="str">
        <f t="shared" si="37"/>
        <v/>
      </c>
      <c r="I187" s="182"/>
      <c r="J187" s="182"/>
      <c r="K187" s="182"/>
      <c r="M187" s="139" t="str">
        <f t="shared" si="29"/>
        <v/>
      </c>
      <c r="N187" s="139" t="str">
        <f t="shared" si="30"/>
        <v/>
      </c>
      <c r="X187" s="139" t="s">
        <v>1852</v>
      </c>
      <c r="Y187" s="139" t="s">
        <v>2116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31"/>
        <v/>
      </c>
      <c r="E188" s="149"/>
      <c r="F188" s="144" t="str">
        <f t="shared" si="33"/>
        <v/>
      </c>
      <c r="G188" s="183"/>
      <c r="H188" s="144" t="str">
        <f t="shared" si="37"/>
        <v/>
      </c>
      <c r="I188" s="182"/>
      <c r="J188" s="182"/>
      <c r="K188" s="182"/>
      <c r="M188" s="139" t="str">
        <f t="shared" si="29"/>
        <v/>
      </c>
      <c r="N188" s="139" t="str">
        <f t="shared" si="30"/>
        <v/>
      </c>
      <c r="X188" s="139" t="s">
        <v>2118</v>
      </c>
      <c r="Y188" s="139" t="s">
        <v>2119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31"/>
        <v/>
      </c>
      <c r="E189" s="149"/>
      <c r="F189" s="144" t="str">
        <f t="shared" si="33"/>
        <v/>
      </c>
      <c r="G189" s="183"/>
      <c r="H189" s="144" t="str">
        <f t="shared" si="37"/>
        <v/>
      </c>
      <c r="I189" s="182"/>
      <c r="J189" s="182"/>
      <c r="K189" s="182"/>
      <c r="M189" s="139" t="str">
        <f t="shared" si="29"/>
        <v/>
      </c>
      <c r="N189" s="139" t="str">
        <f t="shared" si="30"/>
        <v/>
      </c>
      <c r="X189" s="139" t="s">
        <v>2120</v>
      </c>
      <c r="Y189" s="139" t="s">
        <v>2121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31"/>
        <v/>
      </c>
      <c r="E190" s="149"/>
      <c r="F190" s="144" t="str">
        <f t="shared" si="33"/>
        <v/>
      </c>
      <c r="G190" s="183"/>
      <c r="H190" s="144" t="str">
        <f t="shared" si="37"/>
        <v/>
      </c>
      <c r="I190" s="182"/>
      <c r="J190" s="182"/>
      <c r="K190" s="182"/>
      <c r="M190" s="139" t="str">
        <f t="shared" si="29"/>
        <v/>
      </c>
      <c r="N190" s="139" t="str">
        <f t="shared" si="30"/>
        <v/>
      </c>
      <c r="X190" s="139" t="s">
        <v>772</v>
      </c>
      <c r="Y190" s="139" t="s">
        <v>773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31"/>
        <v/>
      </c>
      <c r="E191" s="149"/>
      <c r="F191" s="144" t="str">
        <f t="shared" si="33"/>
        <v/>
      </c>
      <c r="G191" s="183"/>
      <c r="H191" s="144" t="str">
        <f t="shared" si="37"/>
        <v/>
      </c>
      <c r="I191" s="182"/>
      <c r="J191" s="182"/>
      <c r="K191" s="182"/>
      <c r="M191" s="139" t="str">
        <f t="shared" si="29"/>
        <v/>
      </c>
      <c r="N191" s="139" t="str">
        <f t="shared" si="30"/>
        <v/>
      </c>
      <c r="X191" s="139" t="s">
        <v>2211</v>
      </c>
      <c r="Y191" s="139" t="s">
        <v>2200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31"/>
        <v/>
      </c>
      <c r="E192" s="149"/>
      <c r="F192" s="144" t="str">
        <f t="shared" si="33"/>
        <v/>
      </c>
      <c r="G192" s="183"/>
      <c r="H192" s="144" t="str">
        <f t="shared" si="37"/>
        <v/>
      </c>
      <c r="I192" s="182"/>
      <c r="J192" s="182"/>
      <c r="K192" s="182"/>
      <c r="M192" s="139" t="str">
        <f t="shared" si="29"/>
        <v/>
      </c>
      <c r="N192" s="139" t="str">
        <f t="shared" si="30"/>
        <v/>
      </c>
      <c r="X192" s="139" t="s">
        <v>2212</v>
      </c>
      <c r="Y192" s="139" t="s">
        <v>2202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31"/>
        <v/>
      </c>
      <c r="E193" s="149"/>
      <c r="F193" s="144" t="str">
        <f t="shared" si="33"/>
        <v/>
      </c>
      <c r="G193" s="183"/>
      <c r="H193" s="144" t="str">
        <f t="shared" si="37"/>
        <v/>
      </c>
      <c r="I193" s="182"/>
      <c r="J193" s="182"/>
      <c r="K193" s="182"/>
      <c r="M193" s="139" t="str">
        <f t="shared" si="29"/>
        <v/>
      </c>
      <c r="N193" s="139" t="str">
        <f t="shared" si="30"/>
        <v/>
      </c>
      <c r="X193" s="139" t="s">
        <v>2213</v>
      </c>
      <c r="Y193" s="139" t="s">
        <v>2214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31"/>
        <v/>
      </c>
      <c r="E194" s="149"/>
      <c r="F194" s="144" t="str">
        <f t="shared" si="33"/>
        <v/>
      </c>
      <c r="G194" s="183"/>
      <c r="H194" s="144" t="str">
        <f t="shared" si="37"/>
        <v/>
      </c>
      <c r="I194" s="182"/>
      <c r="J194" s="182"/>
      <c r="K194" s="182"/>
      <c r="M194" s="139" t="str">
        <f t="shared" si="29"/>
        <v/>
      </c>
      <c r="N194" s="139" t="str">
        <f t="shared" si="30"/>
        <v/>
      </c>
      <c r="X194" s="139" t="s">
        <v>2215</v>
      </c>
      <c r="Y194" s="139" t="s">
        <v>2216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31"/>
        <v/>
      </c>
      <c r="E195" s="149"/>
      <c r="F195" s="144" t="str">
        <f t="shared" si="33"/>
        <v/>
      </c>
      <c r="G195" s="183"/>
      <c r="H195" s="144" t="str">
        <f t="shared" si="37"/>
        <v/>
      </c>
      <c r="I195" s="182"/>
      <c r="J195" s="182"/>
      <c r="K195" s="182"/>
      <c r="M195" s="139" t="str">
        <f t="shared" si="29"/>
        <v/>
      </c>
      <c r="N195" s="139" t="str">
        <f t="shared" si="30"/>
        <v/>
      </c>
      <c r="X195" s="139" t="s">
        <v>783</v>
      </c>
      <c r="Y195" s="139" t="s">
        <v>784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si="31"/>
        <v/>
      </c>
      <c r="E196" s="149"/>
      <c r="F196" s="144" t="str">
        <f t="shared" si="33"/>
        <v/>
      </c>
      <c r="G196" s="183"/>
      <c r="H196" s="144" t="str">
        <f t="shared" si="37"/>
        <v/>
      </c>
      <c r="I196" s="182"/>
      <c r="J196" s="182"/>
      <c r="K196" s="182"/>
      <c r="M196" s="139" t="str">
        <f t="shared" si="29"/>
        <v/>
      </c>
      <c r="N196" s="139" t="str">
        <f t="shared" si="30"/>
        <v/>
      </c>
      <c r="X196" s="139" t="s">
        <v>785</v>
      </c>
      <c r="Y196" s="139" t="s">
        <v>786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31"/>
        <v/>
      </c>
      <c r="E197" s="149"/>
      <c r="F197" s="144" t="str">
        <f t="shared" si="33"/>
        <v/>
      </c>
      <c r="G197" s="183"/>
      <c r="H197" s="144" t="str">
        <f t="shared" si="37"/>
        <v/>
      </c>
      <c r="I197" s="182"/>
      <c r="J197" s="182"/>
      <c r="K197" s="182"/>
      <c r="M197" s="139" t="str">
        <f t="shared" si="29"/>
        <v/>
      </c>
      <c r="N197" s="139" t="str">
        <f t="shared" si="30"/>
        <v/>
      </c>
      <c r="X197" s="139" t="s">
        <v>1055</v>
      </c>
      <c r="Y197" s="139" t="s">
        <v>1056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31"/>
        <v/>
      </c>
      <c r="E198" s="149"/>
      <c r="F198" s="144" t="str">
        <f t="shared" si="33"/>
        <v/>
      </c>
      <c r="G198" s="183"/>
      <c r="H198" s="144" t="str">
        <f t="shared" si="37"/>
        <v/>
      </c>
      <c r="I198" s="182"/>
      <c r="J198" s="182"/>
      <c r="K198" s="182"/>
      <c r="M198" s="139" t="str">
        <f t="shared" si="29"/>
        <v/>
      </c>
      <c r="N198" s="139" t="str">
        <f t="shared" si="30"/>
        <v/>
      </c>
      <c r="X198" s="139" t="s">
        <v>787</v>
      </c>
      <c r="Y198" s="139" t="s">
        <v>788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31"/>
        <v/>
      </c>
      <c r="E199" s="149"/>
      <c r="F199" s="144" t="str">
        <f t="shared" si="33"/>
        <v/>
      </c>
      <c r="G199" s="183"/>
      <c r="H199" s="144" t="str">
        <f t="shared" si="37"/>
        <v/>
      </c>
      <c r="I199" s="182"/>
      <c r="J199" s="182"/>
      <c r="K199" s="182"/>
      <c r="M199" s="139" t="str">
        <f t="shared" si="29"/>
        <v/>
      </c>
      <c r="N199" s="139" t="str">
        <f t="shared" si="30"/>
        <v/>
      </c>
      <c r="X199" s="139" t="s">
        <v>1057</v>
      </c>
      <c r="Y199" s="139" t="s">
        <v>1051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31"/>
        <v/>
      </c>
      <c r="E200" s="149"/>
      <c r="F200" s="144" t="str">
        <f t="shared" si="33"/>
        <v/>
      </c>
      <c r="G200" s="183"/>
      <c r="H200" s="144" t="str">
        <f t="shared" si="37"/>
        <v/>
      </c>
      <c r="I200" s="182"/>
      <c r="J200" s="182"/>
      <c r="K200" s="182"/>
      <c r="M200" s="139" t="str">
        <f t="shared" si="29"/>
        <v/>
      </c>
      <c r="N200" s="139" t="str">
        <f t="shared" si="30"/>
        <v/>
      </c>
      <c r="X200" s="139" t="s">
        <v>790</v>
      </c>
      <c r="Y200" s="139" t="s">
        <v>1386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31"/>
        <v/>
      </c>
      <c r="E201" s="149"/>
      <c r="F201" s="144" t="str">
        <f t="shared" si="33"/>
        <v/>
      </c>
      <c r="G201" s="183"/>
      <c r="H201" s="144" t="str">
        <f t="shared" si="37"/>
        <v/>
      </c>
      <c r="I201" s="182"/>
      <c r="J201" s="182"/>
      <c r="K201" s="182"/>
      <c r="M201" s="139" t="str">
        <f t="shared" si="29"/>
        <v/>
      </c>
      <c r="N201" s="139" t="str">
        <f t="shared" si="30"/>
        <v/>
      </c>
      <c r="X201" s="139" t="s">
        <v>791</v>
      </c>
      <c r="Y201" s="139" t="s">
        <v>792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31"/>
        <v/>
      </c>
      <c r="E202" s="149"/>
      <c r="F202" s="144" t="str">
        <f t="shared" si="33"/>
        <v/>
      </c>
      <c r="G202" s="183"/>
      <c r="H202" s="144" t="str">
        <f t="shared" si="37"/>
        <v/>
      </c>
      <c r="I202" s="182"/>
      <c r="J202" s="182"/>
      <c r="K202" s="182"/>
      <c r="M202" s="139" t="str">
        <f t="shared" si="29"/>
        <v/>
      </c>
      <c r="N202" s="139" t="str">
        <f t="shared" si="30"/>
        <v/>
      </c>
      <c r="X202" s="139" t="s">
        <v>2086</v>
      </c>
      <c r="Y202" s="139" t="s">
        <v>2087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31"/>
        <v/>
      </c>
      <c r="E203" s="149"/>
      <c r="F203" s="144" t="str">
        <f t="shared" si="33"/>
        <v/>
      </c>
      <c r="G203" s="183"/>
      <c r="H203" s="144" t="str">
        <f t="shared" si="37"/>
        <v/>
      </c>
      <c r="I203" s="182"/>
      <c r="J203" s="182"/>
      <c r="K203" s="182"/>
      <c r="M203" s="139" t="str">
        <f t="shared" si="29"/>
        <v/>
      </c>
      <c r="N203" s="139" t="str">
        <f t="shared" si="30"/>
        <v/>
      </c>
      <c r="X203" s="139" t="s">
        <v>2199</v>
      </c>
      <c r="Y203" s="139" t="s">
        <v>2200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31"/>
        <v/>
      </c>
      <c r="E204" s="149"/>
      <c r="F204" s="144" t="str">
        <f t="shared" si="33"/>
        <v/>
      </c>
      <c r="G204" s="183"/>
      <c r="H204" s="144" t="str">
        <f t="shared" si="37"/>
        <v/>
      </c>
      <c r="I204" s="182"/>
      <c r="J204" s="182"/>
      <c r="K204" s="182"/>
      <c r="M204" s="139" t="str">
        <f t="shared" si="29"/>
        <v/>
      </c>
      <c r="N204" s="139" t="str">
        <f t="shared" si="30"/>
        <v/>
      </c>
      <c r="X204" s="139" t="s">
        <v>2201</v>
      </c>
      <c r="Y204" s="139" t="s">
        <v>2202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31"/>
        <v/>
      </c>
      <c r="E205" s="149"/>
      <c r="F205" s="144" t="str">
        <f t="shared" si="33"/>
        <v/>
      </c>
      <c r="G205" s="183"/>
      <c r="H205" s="144" t="str">
        <f t="shared" si="37"/>
        <v/>
      </c>
      <c r="I205" s="182"/>
      <c r="J205" s="182"/>
      <c r="K205" s="182"/>
      <c r="M205" s="139" t="str">
        <f t="shared" si="29"/>
        <v/>
      </c>
      <c r="N205" s="139" t="str">
        <f t="shared" si="30"/>
        <v/>
      </c>
      <c r="X205" s="139" t="s">
        <v>2203</v>
      </c>
      <c r="Y205" s="139" t="s">
        <v>2204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31"/>
        <v/>
      </c>
      <c r="E206" s="149"/>
      <c r="F206" s="144" t="str">
        <f t="shared" si="33"/>
        <v/>
      </c>
      <c r="G206" s="183"/>
      <c r="H206" s="144" t="str">
        <f t="shared" si="37"/>
        <v/>
      </c>
      <c r="I206" s="182"/>
      <c r="J206" s="182"/>
      <c r="K206" s="182"/>
      <c r="M206" s="139" t="str">
        <f t="shared" si="29"/>
        <v/>
      </c>
      <c r="N206" s="139" t="str">
        <f t="shared" si="30"/>
        <v/>
      </c>
      <c r="X206" s="139" t="s">
        <v>1088</v>
      </c>
      <c r="Y206" s="139" t="s">
        <v>1089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31"/>
        <v/>
      </c>
      <c r="E207" s="149"/>
      <c r="F207" s="144" t="str">
        <f t="shared" si="33"/>
        <v/>
      </c>
      <c r="G207" s="183"/>
      <c r="H207" s="144" t="str">
        <f t="shared" si="37"/>
        <v/>
      </c>
      <c r="I207" s="182"/>
      <c r="J207" s="182"/>
      <c r="K207" s="182"/>
      <c r="M207" s="139" t="str">
        <f t="shared" si="29"/>
        <v/>
      </c>
      <c r="N207" s="139" t="str">
        <f t="shared" si="30"/>
        <v/>
      </c>
      <c r="X207" s="139" t="s">
        <v>1090</v>
      </c>
      <c r="Y207" s="139" t="s">
        <v>1091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31"/>
        <v/>
      </c>
      <c r="E208" s="149"/>
      <c r="F208" s="144" t="str">
        <f t="shared" si="33"/>
        <v/>
      </c>
      <c r="G208" s="183"/>
      <c r="H208" s="144" t="str">
        <f t="shared" si="37"/>
        <v/>
      </c>
      <c r="I208" s="182"/>
      <c r="J208" s="182"/>
      <c r="K208" s="182"/>
      <c r="M208" s="139" t="str">
        <f t="shared" si="29"/>
        <v/>
      </c>
      <c r="N208" s="139" t="str">
        <f t="shared" si="30"/>
        <v/>
      </c>
      <c r="X208" s="139" t="s">
        <v>1094</v>
      </c>
      <c r="Y208" s="139" t="s">
        <v>1095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31"/>
        <v/>
      </c>
      <c r="E209" s="149"/>
      <c r="F209" s="144" t="str">
        <f t="shared" si="33"/>
        <v/>
      </c>
      <c r="G209" s="183"/>
      <c r="H209" s="144" t="str">
        <f t="shared" si="37"/>
        <v/>
      </c>
      <c r="I209" s="182"/>
      <c r="J209" s="182"/>
      <c r="K209" s="182"/>
      <c r="M209" s="139" t="str">
        <f t="shared" si="29"/>
        <v/>
      </c>
      <c r="N209" s="139" t="str">
        <f t="shared" si="30"/>
        <v/>
      </c>
      <c r="X209" s="139" t="s">
        <v>1096</v>
      </c>
      <c r="Y209" s="139" t="s">
        <v>1097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31"/>
        <v/>
      </c>
      <c r="E210" s="149"/>
      <c r="F210" s="144" t="str">
        <f t="shared" si="33"/>
        <v/>
      </c>
      <c r="G210" s="183"/>
      <c r="H210" s="144" t="str">
        <f t="shared" si="37"/>
        <v/>
      </c>
      <c r="I210" s="182"/>
      <c r="J210" s="182"/>
      <c r="K210" s="182"/>
      <c r="M210" s="139" t="str">
        <f t="shared" si="29"/>
        <v/>
      </c>
      <c r="N210" s="139" t="str">
        <f t="shared" si="30"/>
        <v/>
      </c>
      <c r="X210" s="139" t="s">
        <v>1098</v>
      </c>
      <c r="Y210" s="139" t="s">
        <v>1387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31"/>
        <v/>
      </c>
      <c r="E211" s="149"/>
      <c r="F211" s="144" t="str">
        <f t="shared" si="33"/>
        <v/>
      </c>
      <c r="G211" s="183"/>
      <c r="H211" s="144" t="str">
        <f t="shared" si="37"/>
        <v/>
      </c>
      <c r="I211" s="182"/>
      <c r="J211" s="182"/>
      <c r="K211" s="182"/>
      <c r="M211" s="139" t="str">
        <f t="shared" si="29"/>
        <v/>
      </c>
      <c r="N211" s="139" t="str">
        <f t="shared" si="30"/>
        <v/>
      </c>
      <c r="X211" s="139" t="s">
        <v>1099</v>
      </c>
      <c r="Y211" s="139" t="s">
        <v>1100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31"/>
        <v/>
      </c>
      <c r="E212" s="149"/>
      <c r="F212" s="144" t="str">
        <f t="shared" si="33"/>
        <v/>
      </c>
      <c r="G212" s="183"/>
      <c r="H212" s="144" t="str">
        <f t="shared" si="37"/>
        <v/>
      </c>
      <c r="I212" s="182"/>
      <c r="J212" s="182"/>
      <c r="K212" s="182"/>
      <c r="M212" s="139" t="str">
        <f t="shared" si="29"/>
        <v/>
      </c>
      <c r="N212" s="139" t="str">
        <f t="shared" si="30"/>
        <v/>
      </c>
      <c r="X212" s="139" t="s">
        <v>1103</v>
      </c>
      <c r="Y212" s="139" t="s">
        <v>1104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31"/>
        <v/>
      </c>
      <c r="E213" s="149"/>
      <c r="F213" s="144" t="str">
        <f t="shared" si="33"/>
        <v/>
      </c>
      <c r="G213" s="183"/>
      <c r="H213" s="144" t="str">
        <f t="shared" si="37"/>
        <v/>
      </c>
      <c r="I213" s="182"/>
      <c r="J213" s="182"/>
      <c r="K213" s="182"/>
      <c r="M213" s="139" t="str">
        <f t="shared" si="29"/>
        <v/>
      </c>
      <c r="N213" s="139" t="str">
        <f t="shared" si="30"/>
        <v/>
      </c>
      <c r="X213" s="139" t="s">
        <v>1105</v>
      </c>
      <c r="Y213" s="139" t="s">
        <v>1106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31"/>
        <v/>
      </c>
      <c r="E214" s="149"/>
      <c r="F214" s="144" t="str">
        <f t="shared" si="33"/>
        <v/>
      </c>
      <c r="G214" s="183"/>
      <c r="H214" s="144" t="str">
        <f t="shared" si="37"/>
        <v/>
      </c>
      <c r="I214" s="182"/>
      <c r="J214" s="182"/>
      <c r="K214" s="182"/>
      <c r="M214" s="139" t="str">
        <f t="shared" si="29"/>
        <v/>
      </c>
      <c r="N214" s="139" t="str">
        <f t="shared" si="30"/>
        <v/>
      </c>
      <c r="X214" s="139" t="s">
        <v>1107</v>
      </c>
      <c r="Y214" s="139" t="s">
        <v>1108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31"/>
        <v/>
      </c>
      <c r="E215" s="149"/>
      <c r="F215" s="144" t="str">
        <f t="shared" si="33"/>
        <v/>
      </c>
      <c r="G215" s="183"/>
      <c r="H215" s="144" t="str">
        <f t="shared" si="37"/>
        <v/>
      </c>
      <c r="I215" s="182"/>
      <c r="J215" s="182"/>
      <c r="K215" s="182"/>
      <c r="M215" s="139" t="str">
        <f t="shared" si="29"/>
        <v/>
      </c>
      <c r="N215" s="139" t="str">
        <f t="shared" si="30"/>
        <v/>
      </c>
      <c r="X215" s="139" t="s">
        <v>1109</v>
      </c>
      <c r="Y215" s="139" t="s">
        <v>1110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31"/>
        <v/>
      </c>
      <c r="E216" s="149"/>
      <c r="F216" s="144" t="str">
        <f t="shared" si="33"/>
        <v/>
      </c>
      <c r="G216" s="183"/>
      <c r="H216" s="144" t="str">
        <f t="shared" si="37"/>
        <v/>
      </c>
      <c r="I216" s="182"/>
      <c r="J216" s="182"/>
      <c r="K216" s="182"/>
      <c r="M216" s="139" t="str">
        <f t="shared" si="29"/>
        <v/>
      </c>
      <c r="N216" s="139" t="str">
        <f t="shared" si="30"/>
        <v/>
      </c>
      <c r="X216" s="139" t="s">
        <v>1111</v>
      </c>
      <c r="Y216" s="139" t="s">
        <v>1112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31"/>
        <v/>
      </c>
      <c r="E217" s="149"/>
      <c r="F217" s="144" t="str">
        <f t="shared" si="33"/>
        <v/>
      </c>
      <c r="G217" s="183"/>
      <c r="H217" s="144" t="str">
        <f t="shared" si="37"/>
        <v/>
      </c>
      <c r="I217" s="182"/>
      <c r="J217" s="182"/>
      <c r="K217" s="182"/>
      <c r="M217" s="139" t="str">
        <f t="shared" si="29"/>
        <v/>
      </c>
      <c r="N217" s="139" t="str">
        <f t="shared" si="30"/>
        <v/>
      </c>
      <c r="X217" s="139" t="s">
        <v>1113</v>
      </c>
      <c r="Y217" s="139" t="s">
        <v>1114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31"/>
        <v/>
      </c>
      <c r="E218" s="149"/>
      <c r="F218" s="144" t="str">
        <f t="shared" si="33"/>
        <v/>
      </c>
      <c r="G218" s="183"/>
      <c r="H218" s="144" t="str">
        <f t="shared" si="37"/>
        <v/>
      </c>
      <c r="I218" s="182"/>
      <c r="J218" s="182"/>
      <c r="K218" s="182"/>
      <c r="M218" s="139" t="str">
        <f t="shared" si="29"/>
        <v/>
      </c>
      <c r="N218" s="139" t="str">
        <f t="shared" si="30"/>
        <v/>
      </c>
      <c r="X218" s="139" t="s">
        <v>1115</v>
      </c>
      <c r="Y218" s="139" t="s">
        <v>1116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31"/>
        <v/>
      </c>
      <c r="E219" s="149"/>
      <c r="F219" s="144" t="str">
        <f t="shared" si="33"/>
        <v/>
      </c>
      <c r="G219" s="183"/>
      <c r="H219" s="144" t="str">
        <f t="shared" si="37"/>
        <v/>
      </c>
      <c r="I219" s="182"/>
      <c r="J219" s="182"/>
      <c r="K219" s="182"/>
      <c r="M219" s="139" t="str">
        <f t="shared" si="29"/>
        <v/>
      </c>
      <c r="N219" s="139" t="str">
        <f t="shared" si="30"/>
        <v/>
      </c>
      <c r="X219" s="139" t="s">
        <v>1117</v>
      </c>
      <c r="Y219" s="139" t="s">
        <v>1118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ref="D220:D283" si="39">IFERROR(VLOOKUP(C220,$O$6:$P$23,2,FALSE),"")</f>
        <v/>
      </c>
      <c r="E220" s="149"/>
      <c r="F220" s="144" t="str">
        <f t="shared" si="33"/>
        <v/>
      </c>
      <c r="G220" s="183"/>
      <c r="H220" s="144" t="str">
        <f t="shared" si="37"/>
        <v/>
      </c>
      <c r="I220" s="182"/>
      <c r="J220" s="182"/>
      <c r="K220" s="182"/>
      <c r="M220" s="139" t="str">
        <f t="shared" ref="M220:M283" si="40">LEFT(E220,3)</f>
        <v/>
      </c>
      <c r="N220" s="139" t="str">
        <f t="shared" ref="N220:N283" si="41">LEFT(E220,2)</f>
        <v/>
      </c>
      <c r="X220" s="139" t="s">
        <v>1119</v>
      </c>
      <c r="Y220" s="139" t="s">
        <v>1120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39"/>
        <v/>
      </c>
      <c r="E221" s="149"/>
      <c r="F221" s="144" t="str">
        <f t="shared" si="33"/>
        <v/>
      </c>
      <c r="G221" s="183"/>
      <c r="H221" s="144" t="str">
        <f t="shared" si="37"/>
        <v/>
      </c>
      <c r="I221" s="182"/>
      <c r="J221" s="182"/>
      <c r="K221" s="182"/>
      <c r="M221" s="139" t="str">
        <f t="shared" si="40"/>
        <v/>
      </c>
      <c r="N221" s="139" t="str">
        <f t="shared" si="41"/>
        <v/>
      </c>
      <c r="X221" s="139" t="s">
        <v>1121</v>
      </c>
      <c r="Y221" s="139" t="s">
        <v>1122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39"/>
        <v/>
      </c>
      <c r="E222" s="149"/>
      <c r="F222" s="144" t="str">
        <f t="shared" si="33"/>
        <v/>
      </c>
      <c r="G222" s="183"/>
      <c r="H222" s="144" t="str">
        <f t="shared" si="37"/>
        <v/>
      </c>
      <c r="I222" s="182"/>
      <c r="J222" s="182"/>
      <c r="K222" s="182"/>
      <c r="M222" s="139" t="str">
        <f t="shared" si="40"/>
        <v/>
      </c>
      <c r="N222" s="139" t="str">
        <f t="shared" si="41"/>
        <v/>
      </c>
      <c r="X222" s="139" t="s">
        <v>1123</v>
      </c>
      <c r="Y222" s="139" t="s">
        <v>1124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39"/>
        <v/>
      </c>
      <c r="E223" s="149"/>
      <c r="F223" s="144" t="str">
        <f t="shared" si="33"/>
        <v/>
      </c>
      <c r="G223" s="183"/>
      <c r="H223" s="144" t="str">
        <f t="shared" si="37"/>
        <v/>
      </c>
      <c r="I223" s="182"/>
      <c r="J223" s="182"/>
      <c r="K223" s="182"/>
      <c r="M223" s="139" t="str">
        <f t="shared" si="40"/>
        <v/>
      </c>
      <c r="N223" s="139" t="str">
        <f t="shared" si="41"/>
        <v/>
      </c>
      <c r="X223" s="139" t="s">
        <v>1853</v>
      </c>
      <c r="Y223" s="139" t="s">
        <v>1854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39"/>
        <v/>
      </c>
      <c r="E224" s="149"/>
      <c r="F224" s="144" t="str">
        <f t="shared" si="33"/>
        <v/>
      </c>
      <c r="G224" s="183"/>
      <c r="H224" s="144" t="str">
        <f t="shared" si="37"/>
        <v/>
      </c>
      <c r="I224" s="182"/>
      <c r="J224" s="182"/>
      <c r="K224" s="182"/>
      <c r="M224" s="139" t="str">
        <f t="shared" si="40"/>
        <v/>
      </c>
      <c r="N224" s="139" t="str">
        <f t="shared" si="41"/>
        <v/>
      </c>
      <c r="X224" s="139" t="s">
        <v>1125</v>
      </c>
      <c r="Y224" s="139" t="s">
        <v>1126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39"/>
        <v/>
      </c>
      <c r="E225" s="149"/>
      <c r="F225" s="144" t="str">
        <f t="shared" si="33"/>
        <v/>
      </c>
      <c r="G225" s="183"/>
      <c r="H225" s="144" t="str">
        <f t="shared" si="37"/>
        <v/>
      </c>
      <c r="I225" s="182"/>
      <c r="J225" s="182"/>
      <c r="K225" s="182"/>
      <c r="M225" s="139" t="str">
        <f t="shared" si="40"/>
        <v/>
      </c>
      <c r="N225" s="139" t="str">
        <f t="shared" si="41"/>
        <v/>
      </c>
      <c r="X225" s="139" t="s">
        <v>1127</v>
      </c>
      <c r="Y225" s="139" t="s">
        <v>1128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39"/>
        <v/>
      </c>
      <c r="E226" s="149"/>
      <c r="F226" s="144" t="str">
        <f t="shared" si="33"/>
        <v/>
      </c>
      <c r="G226" s="183"/>
      <c r="H226" s="144" t="str">
        <f t="shared" si="37"/>
        <v/>
      </c>
      <c r="I226" s="182"/>
      <c r="J226" s="182"/>
      <c r="K226" s="182"/>
      <c r="M226" s="139" t="str">
        <f t="shared" si="40"/>
        <v/>
      </c>
      <c r="N226" s="139" t="str">
        <f t="shared" si="41"/>
        <v/>
      </c>
      <c r="X226" s="139" t="s">
        <v>1135</v>
      </c>
      <c r="Y226" s="139" t="s">
        <v>1136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39"/>
        <v/>
      </c>
      <c r="E227" s="149"/>
      <c r="F227" s="144" t="str">
        <f t="shared" si="33"/>
        <v/>
      </c>
      <c r="G227" s="183"/>
      <c r="H227" s="144" t="str">
        <f t="shared" si="37"/>
        <v/>
      </c>
      <c r="I227" s="182"/>
      <c r="J227" s="182"/>
      <c r="K227" s="182"/>
      <c r="M227" s="139" t="str">
        <f t="shared" si="40"/>
        <v/>
      </c>
      <c r="N227" s="139" t="str">
        <f t="shared" si="41"/>
        <v/>
      </c>
      <c r="X227" s="139" t="s">
        <v>1137</v>
      </c>
      <c r="Y227" s="139" t="s">
        <v>1389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39"/>
        <v/>
      </c>
      <c r="E228" s="149"/>
      <c r="F228" s="144" t="str">
        <f t="shared" si="33"/>
        <v/>
      </c>
      <c r="G228" s="183"/>
      <c r="H228" s="144" t="str">
        <f t="shared" si="37"/>
        <v/>
      </c>
      <c r="I228" s="182"/>
      <c r="J228" s="182"/>
      <c r="K228" s="182"/>
      <c r="M228" s="139" t="str">
        <f t="shared" si="40"/>
        <v/>
      </c>
      <c r="N228" s="139" t="str">
        <f t="shared" si="41"/>
        <v/>
      </c>
      <c r="X228" s="139" t="s">
        <v>1140</v>
      </c>
      <c r="Y228" s="139" t="s">
        <v>1141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39"/>
        <v/>
      </c>
      <c r="E229" s="149"/>
      <c r="F229" s="144" t="str">
        <f t="shared" si="33"/>
        <v/>
      </c>
      <c r="G229" s="183"/>
      <c r="H229" s="144" t="str">
        <f t="shared" si="37"/>
        <v/>
      </c>
      <c r="I229" s="182"/>
      <c r="J229" s="182"/>
      <c r="K229" s="182"/>
      <c r="M229" s="139" t="str">
        <f t="shared" si="40"/>
        <v/>
      </c>
      <c r="N229" s="139" t="str">
        <f t="shared" si="41"/>
        <v/>
      </c>
      <c r="X229" s="139" t="s">
        <v>1142</v>
      </c>
      <c r="Y229" s="139" t="s">
        <v>1388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39"/>
        <v/>
      </c>
      <c r="E230" s="149"/>
      <c r="F230" s="144" t="str">
        <f t="shared" si="33"/>
        <v/>
      </c>
      <c r="G230" s="183"/>
      <c r="H230" s="144" t="str">
        <f t="shared" si="37"/>
        <v/>
      </c>
      <c r="I230" s="182"/>
      <c r="J230" s="182"/>
      <c r="K230" s="182"/>
      <c r="M230" s="139" t="str">
        <f t="shared" si="40"/>
        <v/>
      </c>
      <c r="N230" s="139" t="str">
        <f t="shared" si="41"/>
        <v/>
      </c>
      <c r="X230" s="139" t="s">
        <v>1143</v>
      </c>
      <c r="Y230" s="139" t="s">
        <v>1144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39"/>
        <v/>
      </c>
      <c r="E231" s="149"/>
      <c r="F231" s="144" t="str">
        <f t="shared" si="33"/>
        <v/>
      </c>
      <c r="G231" s="183"/>
      <c r="H231" s="144" t="str">
        <f t="shared" si="37"/>
        <v/>
      </c>
      <c r="I231" s="182"/>
      <c r="J231" s="182"/>
      <c r="K231" s="182"/>
      <c r="M231" s="139" t="str">
        <f t="shared" si="40"/>
        <v/>
      </c>
      <c r="N231" s="139" t="str">
        <f t="shared" si="41"/>
        <v/>
      </c>
      <c r="X231" s="139" t="s">
        <v>1145</v>
      </c>
      <c r="Y231" s="139" t="s">
        <v>1390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39"/>
        <v/>
      </c>
      <c r="E232" s="149"/>
      <c r="F232" s="144" t="str">
        <f t="shared" si="33"/>
        <v/>
      </c>
      <c r="G232" s="183"/>
      <c r="H232" s="144" t="str">
        <f t="shared" si="37"/>
        <v/>
      </c>
      <c r="I232" s="182"/>
      <c r="J232" s="182"/>
      <c r="K232" s="182"/>
      <c r="M232" s="139" t="str">
        <f t="shared" si="40"/>
        <v/>
      </c>
      <c r="N232" s="139" t="str">
        <f t="shared" si="41"/>
        <v/>
      </c>
      <c r="X232" s="139" t="s">
        <v>1150</v>
      </c>
      <c r="Y232" s="139" t="s">
        <v>1151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39"/>
        <v/>
      </c>
      <c r="E233" s="149"/>
      <c r="F233" s="144" t="str">
        <f t="shared" si="33"/>
        <v/>
      </c>
      <c r="G233" s="183"/>
      <c r="H233" s="144" t="str">
        <f t="shared" si="37"/>
        <v/>
      </c>
      <c r="I233" s="182"/>
      <c r="J233" s="182"/>
      <c r="K233" s="182"/>
      <c r="M233" s="139" t="str">
        <f t="shared" si="40"/>
        <v/>
      </c>
      <c r="N233" s="139" t="str">
        <f t="shared" si="41"/>
        <v/>
      </c>
      <c r="X233" s="139" t="s">
        <v>1152</v>
      </c>
      <c r="Y233" s="139" t="s">
        <v>1153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39"/>
        <v/>
      </c>
      <c r="E234" s="149"/>
      <c r="F234" s="144" t="str">
        <f t="shared" si="33"/>
        <v/>
      </c>
      <c r="G234" s="183"/>
      <c r="H234" s="144" t="str">
        <f t="shared" si="37"/>
        <v/>
      </c>
      <c r="I234" s="182"/>
      <c r="J234" s="182"/>
      <c r="K234" s="182"/>
      <c r="M234" s="139" t="str">
        <f t="shared" si="40"/>
        <v/>
      </c>
      <c r="N234" s="139" t="str">
        <f t="shared" si="41"/>
        <v/>
      </c>
      <c r="X234" s="139" t="s">
        <v>1154</v>
      </c>
      <c r="Y234" s="139" t="s">
        <v>1155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39"/>
        <v/>
      </c>
      <c r="E235" s="149"/>
      <c r="F235" s="144" t="str">
        <f t="shared" si="33"/>
        <v/>
      </c>
      <c r="G235" s="183"/>
      <c r="H235" s="144" t="str">
        <f t="shared" si="37"/>
        <v/>
      </c>
      <c r="I235" s="182"/>
      <c r="J235" s="182"/>
      <c r="K235" s="182"/>
      <c r="M235" s="139" t="str">
        <f t="shared" si="40"/>
        <v/>
      </c>
      <c r="N235" s="139" t="str">
        <f t="shared" si="41"/>
        <v/>
      </c>
      <c r="X235" s="139" t="s">
        <v>1156</v>
      </c>
      <c r="Y235" s="139" t="s">
        <v>1157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39"/>
        <v/>
      </c>
      <c r="E236" s="149"/>
      <c r="F236" s="144" t="str">
        <f t="shared" si="33"/>
        <v/>
      </c>
      <c r="G236" s="183"/>
      <c r="H236" s="144" t="str">
        <f t="shared" si="37"/>
        <v/>
      </c>
      <c r="I236" s="182"/>
      <c r="J236" s="182"/>
      <c r="K236" s="182"/>
      <c r="M236" s="139" t="str">
        <f t="shared" si="40"/>
        <v/>
      </c>
      <c r="N236" s="139" t="str">
        <f t="shared" si="41"/>
        <v/>
      </c>
      <c r="X236" s="139" t="s">
        <v>1855</v>
      </c>
      <c r="Y236" s="139" t="s">
        <v>1856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39"/>
        <v/>
      </c>
      <c r="E237" s="149"/>
      <c r="F237" s="144" t="str">
        <f t="shared" ref="F237:F300" si="42">IFERROR(VLOOKUP(E237,$R$5:$T$144,2,FALSE),"")</f>
        <v/>
      </c>
      <c r="G237" s="183"/>
      <c r="H237" s="144" t="str">
        <f t="shared" si="37"/>
        <v/>
      </c>
      <c r="I237" s="182"/>
      <c r="J237" s="182"/>
      <c r="K237" s="182"/>
      <c r="M237" s="139" t="str">
        <f t="shared" si="40"/>
        <v/>
      </c>
      <c r="N237" s="139" t="str">
        <f t="shared" si="41"/>
        <v/>
      </c>
      <c r="X237" s="139" t="s">
        <v>1158</v>
      </c>
      <c r="Y237" s="139" t="s">
        <v>1159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39"/>
        <v/>
      </c>
      <c r="E238" s="149"/>
      <c r="F238" s="144" t="str">
        <f t="shared" si="42"/>
        <v/>
      </c>
      <c r="G238" s="183"/>
      <c r="H238" s="144" t="str">
        <f t="shared" si="37"/>
        <v/>
      </c>
      <c r="I238" s="182"/>
      <c r="J238" s="182"/>
      <c r="K238" s="182"/>
      <c r="M238" s="139" t="str">
        <f t="shared" si="40"/>
        <v/>
      </c>
      <c r="N238" s="139" t="str">
        <f t="shared" si="41"/>
        <v/>
      </c>
      <c r="X238" s="139" t="s">
        <v>2221</v>
      </c>
      <c r="Y238" s="139" t="s">
        <v>2222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39"/>
        <v/>
      </c>
      <c r="E239" s="149"/>
      <c r="F239" s="144" t="str">
        <f t="shared" si="42"/>
        <v/>
      </c>
      <c r="G239" s="183"/>
      <c r="H239" s="144" t="str">
        <f t="shared" si="37"/>
        <v/>
      </c>
      <c r="I239" s="182"/>
      <c r="J239" s="182"/>
      <c r="K239" s="182"/>
      <c r="M239" s="139" t="str">
        <f t="shared" si="40"/>
        <v/>
      </c>
      <c r="N239" s="139" t="str">
        <f t="shared" si="41"/>
        <v/>
      </c>
      <c r="X239" s="139" t="s">
        <v>1857</v>
      </c>
      <c r="Y239" s="139" t="s">
        <v>780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39"/>
        <v/>
      </c>
      <c r="E240" s="149"/>
      <c r="F240" s="144" t="str">
        <f t="shared" si="42"/>
        <v/>
      </c>
      <c r="G240" s="183"/>
      <c r="H240" s="144" t="str">
        <f t="shared" si="37"/>
        <v/>
      </c>
      <c r="I240" s="182"/>
      <c r="J240" s="182"/>
      <c r="K240" s="182"/>
      <c r="M240" s="139" t="str">
        <f t="shared" si="40"/>
        <v/>
      </c>
      <c r="N240" s="139" t="str">
        <f t="shared" si="41"/>
        <v/>
      </c>
      <c r="X240" s="139" t="s">
        <v>1162</v>
      </c>
      <c r="Y240" s="139" t="s">
        <v>1163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39"/>
        <v/>
      </c>
      <c r="E241" s="149"/>
      <c r="F241" s="144" t="str">
        <f t="shared" si="42"/>
        <v/>
      </c>
      <c r="G241" s="183"/>
      <c r="H241" s="144" t="str">
        <f t="shared" si="37"/>
        <v/>
      </c>
      <c r="I241" s="182"/>
      <c r="J241" s="182"/>
      <c r="K241" s="182"/>
      <c r="M241" s="139" t="str">
        <f t="shared" si="40"/>
        <v/>
      </c>
      <c r="N241" s="139" t="str">
        <f t="shared" si="41"/>
        <v/>
      </c>
      <c r="X241" s="139" t="s">
        <v>1164</v>
      </c>
      <c r="Y241" s="139" t="s">
        <v>1165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39"/>
        <v/>
      </c>
      <c r="E242" s="149"/>
      <c r="F242" s="144" t="str">
        <f t="shared" si="42"/>
        <v/>
      </c>
      <c r="G242" s="183"/>
      <c r="H242" s="144" t="str">
        <f t="shared" si="37"/>
        <v/>
      </c>
      <c r="I242" s="182"/>
      <c r="J242" s="182"/>
      <c r="K242" s="182"/>
      <c r="M242" s="139" t="str">
        <f t="shared" si="40"/>
        <v/>
      </c>
      <c r="N242" s="139" t="str">
        <f t="shared" si="41"/>
        <v/>
      </c>
      <c r="X242" s="139" t="s">
        <v>1166</v>
      </c>
      <c r="Y242" s="139" t="s">
        <v>1167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39"/>
        <v/>
      </c>
      <c r="E243" s="149"/>
      <c r="F243" s="144" t="str">
        <f t="shared" si="42"/>
        <v/>
      </c>
      <c r="G243" s="183"/>
      <c r="H243" s="144" t="str">
        <f t="shared" si="37"/>
        <v/>
      </c>
      <c r="I243" s="182"/>
      <c r="J243" s="182"/>
      <c r="K243" s="182"/>
      <c r="M243" s="139" t="str">
        <f t="shared" si="40"/>
        <v/>
      </c>
      <c r="N243" s="139" t="str">
        <f t="shared" si="41"/>
        <v/>
      </c>
      <c r="X243" s="139" t="s">
        <v>1168</v>
      </c>
      <c r="Y243" s="139" t="s">
        <v>1169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39"/>
        <v/>
      </c>
      <c r="E244" s="149"/>
      <c r="F244" s="144" t="str">
        <f t="shared" si="42"/>
        <v/>
      </c>
      <c r="G244" s="183"/>
      <c r="H244" s="144" t="str">
        <f t="shared" si="37"/>
        <v/>
      </c>
      <c r="I244" s="182"/>
      <c r="J244" s="182"/>
      <c r="K244" s="182"/>
      <c r="M244" s="139" t="str">
        <f t="shared" si="40"/>
        <v/>
      </c>
      <c r="N244" s="139" t="str">
        <f t="shared" si="41"/>
        <v/>
      </c>
      <c r="X244" s="139" t="s">
        <v>1170</v>
      </c>
      <c r="Y244" s="139" t="s">
        <v>1171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39"/>
        <v/>
      </c>
      <c r="E245" s="149"/>
      <c r="F245" s="144" t="str">
        <f t="shared" si="42"/>
        <v/>
      </c>
      <c r="G245" s="183"/>
      <c r="H245" s="144" t="str">
        <f t="shared" ref="H245:H308" si="43">IFERROR(VLOOKUP(G245,$X$6:$Y$321,2,FALSE),"")</f>
        <v/>
      </c>
      <c r="I245" s="182"/>
      <c r="J245" s="182"/>
      <c r="K245" s="182"/>
      <c r="M245" s="139" t="str">
        <f t="shared" si="40"/>
        <v/>
      </c>
      <c r="N245" s="139" t="str">
        <f t="shared" si="41"/>
        <v/>
      </c>
      <c r="X245" s="139" t="s">
        <v>1172</v>
      </c>
      <c r="Y245" s="139" t="s">
        <v>1173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39"/>
        <v/>
      </c>
      <c r="E246" s="149"/>
      <c r="F246" s="144" t="str">
        <f t="shared" si="42"/>
        <v/>
      </c>
      <c r="G246" s="183"/>
      <c r="H246" s="144" t="str">
        <f t="shared" si="43"/>
        <v/>
      </c>
      <c r="I246" s="182"/>
      <c r="J246" s="182"/>
      <c r="K246" s="182"/>
      <c r="M246" s="139" t="str">
        <f t="shared" si="40"/>
        <v/>
      </c>
      <c r="N246" s="139" t="str">
        <f t="shared" si="41"/>
        <v/>
      </c>
      <c r="X246" s="139" t="s">
        <v>1174</v>
      </c>
      <c r="Y246" s="139" t="s">
        <v>1175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39"/>
        <v/>
      </c>
      <c r="E247" s="149"/>
      <c r="F247" s="144" t="str">
        <f t="shared" si="42"/>
        <v/>
      </c>
      <c r="G247" s="183"/>
      <c r="H247" s="144" t="str">
        <f t="shared" si="43"/>
        <v/>
      </c>
      <c r="I247" s="182"/>
      <c r="J247" s="182"/>
      <c r="K247" s="182"/>
      <c r="M247" s="139" t="str">
        <f t="shared" si="40"/>
        <v/>
      </c>
      <c r="N247" s="139" t="str">
        <f t="shared" si="41"/>
        <v/>
      </c>
      <c r="X247" s="139" t="s">
        <v>1176</v>
      </c>
      <c r="Y247" s="139" t="s">
        <v>1177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39"/>
        <v/>
      </c>
      <c r="E248" s="149"/>
      <c r="F248" s="144" t="str">
        <f t="shared" si="42"/>
        <v/>
      </c>
      <c r="G248" s="183"/>
      <c r="H248" s="144" t="str">
        <f t="shared" si="43"/>
        <v/>
      </c>
      <c r="I248" s="182"/>
      <c r="J248" s="182"/>
      <c r="K248" s="182"/>
      <c r="M248" s="139" t="str">
        <f t="shared" si="40"/>
        <v/>
      </c>
      <c r="N248" s="139" t="str">
        <f t="shared" si="41"/>
        <v/>
      </c>
      <c r="X248" s="139" t="s">
        <v>1178</v>
      </c>
      <c r="Y248" s="139" t="s">
        <v>1179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39"/>
        <v/>
      </c>
      <c r="E249" s="149"/>
      <c r="F249" s="144" t="str">
        <f t="shared" si="42"/>
        <v/>
      </c>
      <c r="G249" s="183"/>
      <c r="H249" s="144" t="str">
        <f t="shared" si="43"/>
        <v/>
      </c>
      <c r="I249" s="182"/>
      <c r="J249" s="182"/>
      <c r="K249" s="182"/>
      <c r="M249" s="139" t="str">
        <f t="shared" si="40"/>
        <v/>
      </c>
      <c r="N249" s="139" t="str">
        <f t="shared" si="41"/>
        <v/>
      </c>
      <c r="X249" s="139" t="s">
        <v>1180</v>
      </c>
      <c r="Y249" s="139" t="s">
        <v>1181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39"/>
        <v/>
      </c>
      <c r="E250" s="149"/>
      <c r="F250" s="144" t="str">
        <f t="shared" si="42"/>
        <v/>
      </c>
      <c r="G250" s="183"/>
      <c r="H250" s="144" t="str">
        <f t="shared" si="43"/>
        <v/>
      </c>
      <c r="I250" s="182"/>
      <c r="J250" s="182"/>
      <c r="K250" s="182"/>
      <c r="M250" s="139" t="str">
        <f t="shared" si="40"/>
        <v/>
      </c>
      <c r="N250" s="139" t="str">
        <f t="shared" si="41"/>
        <v/>
      </c>
      <c r="X250" s="139" t="s">
        <v>1182</v>
      </c>
      <c r="Y250" s="139" t="s">
        <v>1183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39"/>
        <v/>
      </c>
      <c r="E251" s="149"/>
      <c r="F251" s="144" t="str">
        <f t="shared" si="42"/>
        <v/>
      </c>
      <c r="G251" s="183"/>
      <c r="H251" s="144" t="str">
        <f t="shared" si="43"/>
        <v/>
      </c>
      <c r="I251" s="182"/>
      <c r="J251" s="182"/>
      <c r="K251" s="182"/>
      <c r="M251" s="139" t="str">
        <f t="shared" si="40"/>
        <v/>
      </c>
      <c r="N251" s="139" t="str">
        <f t="shared" si="41"/>
        <v/>
      </c>
      <c r="X251" s="139" t="s">
        <v>1184</v>
      </c>
      <c r="Y251" s="139" t="s">
        <v>1185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39"/>
        <v/>
      </c>
      <c r="E252" s="149"/>
      <c r="F252" s="144" t="str">
        <f t="shared" si="42"/>
        <v/>
      </c>
      <c r="G252" s="183"/>
      <c r="H252" s="144" t="str">
        <f t="shared" si="43"/>
        <v/>
      </c>
      <c r="I252" s="182"/>
      <c r="J252" s="182"/>
      <c r="K252" s="182"/>
      <c r="M252" s="139" t="str">
        <f t="shared" si="40"/>
        <v/>
      </c>
      <c r="N252" s="139" t="str">
        <f t="shared" si="41"/>
        <v/>
      </c>
      <c r="X252" s="139" t="s">
        <v>1186</v>
      </c>
      <c r="Y252" s="139" t="s">
        <v>1187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39"/>
        <v/>
      </c>
      <c r="E253" s="149"/>
      <c r="F253" s="144" t="str">
        <f t="shared" si="42"/>
        <v/>
      </c>
      <c r="G253" s="183"/>
      <c r="H253" s="144" t="str">
        <f t="shared" si="43"/>
        <v/>
      </c>
      <c r="I253" s="182"/>
      <c r="J253" s="182"/>
      <c r="K253" s="182"/>
      <c r="M253" s="139" t="str">
        <f t="shared" si="40"/>
        <v/>
      </c>
      <c r="N253" s="139" t="str">
        <f t="shared" si="41"/>
        <v/>
      </c>
      <c r="X253" s="139" t="s">
        <v>1188</v>
      </c>
      <c r="Y253" s="139" t="s">
        <v>1189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39"/>
        <v/>
      </c>
      <c r="E254" s="149"/>
      <c r="F254" s="144" t="str">
        <f t="shared" si="42"/>
        <v/>
      </c>
      <c r="G254" s="183"/>
      <c r="H254" s="144" t="str">
        <f t="shared" si="43"/>
        <v/>
      </c>
      <c r="I254" s="182"/>
      <c r="J254" s="182"/>
      <c r="K254" s="182"/>
      <c r="M254" s="139" t="str">
        <f t="shared" si="40"/>
        <v/>
      </c>
      <c r="N254" s="139" t="str">
        <f t="shared" si="41"/>
        <v/>
      </c>
      <c r="X254" s="139" t="s">
        <v>1858</v>
      </c>
      <c r="Y254" s="139" t="s">
        <v>1859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39"/>
        <v/>
      </c>
      <c r="E255" s="149"/>
      <c r="F255" s="144" t="str">
        <f t="shared" si="42"/>
        <v/>
      </c>
      <c r="G255" s="183"/>
      <c r="H255" s="144" t="str">
        <f t="shared" si="43"/>
        <v/>
      </c>
      <c r="I255" s="182"/>
      <c r="J255" s="182"/>
      <c r="K255" s="182"/>
      <c r="M255" s="139" t="str">
        <f t="shared" si="40"/>
        <v/>
      </c>
      <c r="N255" s="139" t="str">
        <f t="shared" si="41"/>
        <v/>
      </c>
      <c r="X255" s="139" t="s">
        <v>2173</v>
      </c>
      <c r="Y255" s="139" t="s">
        <v>2174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39"/>
        <v/>
      </c>
      <c r="E256" s="149"/>
      <c r="F256" s="144" t="str">
        <f t="shared" si="42"/>
        <v/>
      </c>
      <c r="G256" s="183"/>
      <c r="H256" s="144" t="str">
        <f t="shared" si="43"/>
        <v/>
      </c>
      <c r="I256" s="182"/>
      <c r="J256" s="182"/>
      <c r="K256" s="182"/>
      <c r="M256" s="139" t="str">
        <f t="shared" si="40"/>
        <v/>
      </c>
      <c r="N256" s="139" t="str">
        <f t="shared" si="41"/>
        <v/>
      </c>
      <c r="X256" s="139" t="s">
        <v>2175</v>
      </c>
      <c r="Y256" s="139" t="s">
        <v>2176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39"/>
        <v/>
      </c>
      <c r="E257" s="149"/>
      <c r="F257" s="144" t="str">
        <f t="shared" si="42"/>
        <v/>
      </c>
      <c r="G257" s="183"/>
      <c r="H257" s="144" t="str">
        <f t="shared" si="43"/>
        <v/>
      </c>
      <c r="I257" s="182"/>
      <c r="J257" s="182"/>
      <c r="K257" s="182"/>
      <c r="M257" s="139" t="str">
        <f t="shared" si="40"/>
        <v/>
      </c>
      <c r="N257" s="139" t="str">
        <f t="shared" si="41"/>
        <v/>
      </c>
      <c r="X257" s="139" t="s">
        <v>1190</v>
      </c>
      <c r="Y257" s="139" t="s">
        <v>1191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39"/>
        <v/>
      </c>
      <c r="E258" s="149"/>
      <c r="F258" s="144" t="str">
        <f t="shared" si="42"/>
        <v/>
      </c>
      <c r="G258" s="183"/>
      <c r="H258" s="144" t="str">
        <f t="shared" si="43"/>
        <v/>
      </c>
      <c r="I258" s="182"/>
      <c r="J258" s="182"/>
      <c r="K258" s="182"/>
      <c r="M258" s="139" t="str">
        <f t="shared" si="40"/>
        <v/>
      </c>
      <c r="N258" s="139" t="str">
        <f t="shared" si="41"/>
        <v/>
      </c>
      <c r="X258" s="139" t="s">
        <v>1192</v>
      </c>
      <c r="Y258" s="139" t="s">
        <v>1193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39"/>
        <v/>
      </c>
      <c r="E259" s="149"/>
      <c r="F259" s="144" t="str">
        <f t="shared" si="42"/>
        <v/>
      </c>
      <c r="G259" s="183"/>
      <c r="H259" s="144" t="str">
        <f t="shared" si="43"/>
        <v/>
      </c>
      <c r="I259" s="182"/>
      <c r="J259" s="182"/>
      <c r="K259" s="182"/>
      <c r="M259" s="139" t="str">
        <f t="shared" si="40"/>
        <v/>
      </c>
      <c r="N259" s="139" t="str">
        <f t="shared" si="41"/>
        <v/>
      </c>
      <c r="X259" s="139" t="s">
        <v>1194</v>
      </c>
      <c r="Y259" s="139" t="s">
        <v>780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si="39"/>
        <v/>
      </c>
      <c r="E260" s="149"/>
      <c r="F260" s="144" t="str">
        <f t="shared" si="42"/>
        <v/>
      </c>
      <c r="G260" s="183"/>
      <c r="H260" s="144" t="str">
        <f t="shared" si="43"/>
        <v/>
      </c>
      <c r="I260" s="182"/>
      <c r="J260" s="182"/>
      <c r="K260" s="182"/>
      <c r="M260" s="139" t="str">
        <f t="shared" si="40"/>
        <v/>
      </c>
      <c r="N260" s="139" t="str">
        <f t="shared" si="41"/>
        <v/>
      </c>
      <c r="X260" s="139" t="s">
        <v>1195</v>
      </c>
      <c r="Y260" s="139" t="s">
        <v>1196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9"/>
        <v/>
      </c>
      <c r="E261" s="149"/>
      <c r="F261" s="144" t="str">
        <f t="shared" si="42"/>
        <v/>
      </c>
      <c r="G261" s="183"/>
      <c r="H261" s="144" t="str">
        <f t="shared" si="43"/>
        <v/>
      </c>
      <c r="I261" s="182"/>
      <c r="J261" s="182"/>
      <c r="K261" s="182"/>
      <c r="M261" s="139" t="str">
        <f t="shared" si="40"/>
        <v/>
      </c>
      <c r="N261" s="139" t="str">
        <f t="shared" si="41"/>
        <v/>
      </c>
      <c r="X261" s="139" t="s">
        <v>1199</v>
      </c>
      <c r="Y261" s="139" t="s">
        <v>1200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9"/>
        <v/>
      </c>
      <c r="E262" s="149"/>
      <c r="F262" s="144" t="str">
        <f t="shared" si="42"/>
        <v/>
      </c>
      <c r="G262" s="183"/>
      <c r="H262" s="144" t="str">
        <f t="shared" si="43"/>
        <v/>
      </c>
      <c r="I262" s="182"/>
      <c r="J262" s="182"/>
      <c r="K262" s="182"/>
      <c r="M262" s="139" t="str">
        <f t="shared" si="40"/>
        <v/>
      </c>
      <c r="N262" s="139" t="str">
        <f t="shared" si="41"/>
        <v/>
      </c>
      <c r="X262" s="139" t="s">
        <v>1201</v>
      </c>
      <c r="Y262" s="139" t="s">
        <v>1860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9"/>
        <v/>
      </c>
      <c r="E263" s="149"/>
      <c r="F263" s="144" t="str">
        <f t="shared" si="42"/>
        <v/>
      </c>
      <c r="G263" s="183"/>
      <c r="H263" s="144" t="str">
        <f t="shared" si="43"/>
        <v/>
      </c>
      <c r="I263" s="182"/>
      <c r="J263" s="182"/>
      <c r="K263" s="182"/>
      <c r="M263" s="139" t="str">
        <f t="shared" si="40"/>
        <v/>
      </c>
      <c r="N263" s="139" t="str">
        <f t="shared" si="41"/>
        <v/>
      </c>
      <c r="X263" s="139" t="s">
        <v>1202</v>
      </c>
      <c r="Y263" s="139" t="s">
        <v>1203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9"/>
        <v/>
      </c>
      <c r="E264" s="149"/>
      <c r="F264" s="144" t="str">
        <f t="shared" si="42"/>
        <v/>
      </c>
      <c r="G264" s="183"/>
      <c r="H264" s="144" t="str">
        <f t="shared" si="43"/>
        <v/>
      </c>
      <c r="I264" s="182"/>
      <c r="J264" s="182"/>
      <c r="K264" s="182"/>
      <c r="M264" s="139" t="str">
        <f t="shared" si="40"/>
        <v/>
      </c>
      <c r="N264" s="139" t="str">
        <f t="shared" si="41"/>
        <v/>
      </c>
      <c r="X264" s="139" t="s">
        <v>1204</v>
      </c>
      <c r="Y264" s="139" t="s">
        <v>1205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9"/>
        <v/>
      </c>
      <c r="E265" s="149"/>
      <c r="F265" s="144" t="str">
        <f t="shared" si="42"/>
        <v/>
      </c>
      <c r="G265" s="183"/>
      <c r="H265" s="144" t="str">
        <f t="shared" si="43"/>
        <v/>
      </c>
      <c r="I265" s="182"/>
      <c r="J265" s="182"/>
      <c r="K265" s="182"/>
      <c r="M265" s="139" t="str">
        <f t="shared" si="40"/>
        <v/>
      </c>
      <c r="N265" s="139" t="str">
        <f t="shared" si="41"/>
        <v/>
      </c>
      <c r="X265" s="139" t="s">
        <v>2228</v>
      </c>
      <c r="Y265" s="139" t="s">
        <v>2229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9"/>
        <v/>
      </c>
      <c r="E266" s="149"/>
      <c r="F266" s="144" t="str">
        <f t="shared" si="42"/>
        <v/>
      </c>
      <c r="G266" s="183"/>
      <c r="H266" s="144" t="str">
        <f t="shared" si="43"/>
        <v/>
      </c>
      <c r="I266" s="182"/>
      <c r="J266" s="182"/>
      <c r="K266" s="182"/>
      <c r="M266" s="139" t="str">
        <f t="shared" si="40"/>
        <v/>
      </c>
      <c r="N266" s="139" t="str">
        <f t="shared" si="41"/>
        <v/>
      </c>
      <c r="X266" s="139" t="s">
        <v>2230</v>
      </c>
      <c r="Y266" s="139" t="s">
        <v>2231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9"/>
        <v/>
      </c>
      <c r="E267" s="149"/>
      <c r="F267" s="144" t="str">
        <f t="shared" si="42"/>
        <v/>
      </c>
      <c r="G267" s="183"/>
      <c r="H267" s="144" t="str">
        <f t="shared" si="43"/>
        <v/>
      </c>
      <c r="I267" s="182"/>
      <c r="J267" s="182"/>
      <c r="K267" s="182"/>
      <c r="M267" s="139" t="str">
        <f t="shared" si="40"/>
        <v/>
      </c>
      <c r="N267" s="139" t="str">
        <f t="shared" si="41"/>
        <v/>
      </c>
      <c r="X267" s="139" t="s">
        <v>1208</v>
      </c>
      <c r="Y267" s="139" t="s">
        <v>1209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9"/>
        <v/>
      </c>
      <c r="E268" s="149"/>
      <c r="F268" s="144" t="str">
        <f t="shared" si="42"/>
        <v/>
      </c>
      <c r="G268" s="183"/>
      <c r="H268" s="144" t="str">
        <f t="shared" si="43"/>
        <v/>
      </c>
      <c r="I268" s="182"/>
      <c r="J268" s="182"/>
      <c r="K268" s="182"/>
      <c r="M268" s="139" t="str">
        <f t="shared" si="40"/>
        <v/>
      </c>
      <c r="N268" s="139" t="str">
        <f t="shared" si="41"/>
        <v/>
      </c>
      <c r="X268" s="139" t="s">
        <v>1210</v>
      </c>
      <c r="Y268" s="139" t="s">
        <v>1211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9"/>
        <v/>
      </c>
      <c r="E269" s="149"/>
      <c r="F269" s="144" t="str">
        <f t="shared" si="42"/>
        <v/>
      </c>
      <c r="G269" s="183"/>
      <c r="H269" s="144" t="str">
        <f t="shared" si="43"/>
        <v/>
      </c>
      <c r="I269" s="182"/>
      <c r="J269" s="182"/>
      <c r="K269" s="182"/>
      <c r="M269" s="139" t="str">
        <f t="shared" si="40"/>
        <v/>
      </c>
      <c r="N269" s="139" t="str">
        <f t="shared" si="41"/>
        <v/>
      </c>
      <c r="X269" s="139" t="s">
        <v>1212</v>
      </c>
      <c r="Y269" s="139" t="s">
        <v>1213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9"/>
        <v/>
      </c>
      <c r="E270" s="149"/>
      <c r="F270" s="144" t="str">
        <f t="shared" si="42"/>
        <v/>
      </c>
      <c r="G270" s="183"/>
      <c r="H270" s="144" t="str">
        <f t="shared" si="43"/>
        <v/>
      </c>
      <c r="I270" s="182"/>
      <c r="J270" s="182"/>
      <c r="K270" s="182"/>
      <c r="M270" s="139" t="str">
        <f t="shared" si="40"/>
        <v/>
      </c>
      <c r="N270" s="139" t="str">
        <f t="shared" si="41"/>
        <v/>
      </c>
      <c r="X270" s="139" t="s">
        <v>1214</v>
      </c>
      <c r="Y270" s="139" t="s">
        <v>1215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9"/>
        <v/>
      </c>
      <c r="E271" s="149"/>
      <c r="F271" s="144" t="str">
        <f t="shared" si="42"/>
        <v/>
      </c>
      <c r="G271" s="183"/>
      <c r="H271" s="144" t="str">
        <f t="shared" si="43"/>
        <v/>
      </c>
      <c r="I271" s="182"/>
      <c r="J271" s="182"/>
      <c r="K271" s="182"/>
      <c r="M271" s="139" t="str">
        <f t="shared" si="40"/>
        <v/>
      </c>
      <c r="N271" s="139" t="str">
        <f t="shared" si="41"/>
        <v/>
      </c>
      <c r="X271" s="139" t="s">
        <v>1216</v>
      </c>
      <c r="Y271" s="139" t="s">
        <v>1217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9"/>
        <v/>
      </c>
      <c r="E272" s="149"/>
      <c r="F272" s="144" t="str">
        <f t="shared" si="42"/>
        <v/>
      </c>
      <c r="G272" s="183"/>
      <c r="H272" s="144" t="str">
        <f t="shared" si="43"/>
        <v/>
      </c>
      <c r="I272" s="182"/>
      <c r="J272" s="182"/>
      <c r="K272" s="182"/>
      <c r="M272" s="139" t="str">
        <f t="shared" si="40"/>
        <v/>
      </c>
      <c r="N272" s="139" t="str">
        <f t="shared" si="41"/>
        <v/>
      </c>
      <c r="X272" s="139" t="s">
        <v>1218</v>
      </c>
      <c r="Y272" s="139" t="s">
        <v>1219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9"/>
        <v/>
      </c>
      <c r="E273" s="149"/>
      <c r="F273" s="144" t="str">
        <f t="shared" si="42"/>
        <v/>
      </c>
      <c r="G273" s="183"/>
      <c r="H273" s="144" t="str">
        <f t="shared" si="43"/>
        <v/>
      </c>
      <c r="I273" s="182"/>
      <c r="J273" s="182"/>
      <c r="K273" s="182"/>
      <c r="M273" s="139" t="str">
        <f t="shared" si="40"/>
        <v/>
      </c>
      <c r="N273" s="139" t="str">
        <f t="shared" si="41"/>
        <v/>
      </c>
      <c r="X273" s="139" t="s">
        <v>1220</v>
      </c>
      <c r="Y273" s="139" t="s">
        <v>1221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9"/>
        <v/>
      </c>
      <c r="E274" s="149"/>
      <c r="F274" s="144" t="str">
        <f t="shared" si="42"/>
        <v/>
      </c>
      <c r="G274" s="183"/>
      <c r="H274" s="144" t="str">
        <f t="shared" si="43"/>
        <v/>
      </c>
      <c r="I274" s="182"/>
      <c r="J274" s="182"/>
      <c r="K274" s="182"/>
      <c r="M274" s="139" t="str">
        <f t="shared" si="40"/>
        <v/>
      </c>
      <c r="N274" s="139" t="str">
        <f t="shared" si="41"/>
        <v/>
      </c>
      <c r="X274" s="139" t="s">
        <v>1222</v>
      </c>
      <c r="Y274" s="139" t="s">
        <v>1223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9"/>
        <v/>
      </c>
      <c r="E275" s="149"/>
      <c r="F275" s="144" t="str">
        <f t="shared" si="42"/>
        <v/>
      </c>
      <c r="G275" s="183"/>
      <c r="H275" s="144" t="str">
        <f t="shared" si="43"/>
        <v/>
      </c>
      <c r="I275" s="182"/>
      <c r="J275" s="182"/>
      <c r="K275" s="182"/>
      <c r="M275" s="139" t="str">
        <f t="shared" si="40"/>
        <v/>
      </c>
      <c r="N275" s="139" t="str">
        <f t="shared" si="41"/>
        <v/>
      </c>
      <c r="X275" s="139" t="s">
        <v>1224</v>
      </c>
      <c r="Y275" s="139" t="s">
        <v>1225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9"/>
        <v/>
      </c>
      <c r="E276" s="149"/>
      <c r="F276" s="144" t="str">
        <f t="shared" si="42"/>
        <v/>
      </c>
      <c r="G276" s="183"/>
      <c r="H276" s="144" t="str">
        <f t="shared" si="43"/>
        <v/>
      </c>
      <c r="I276" s="182"/>
      <c r="J276" s="182"/>
      <c r="K276" s="182"/>
      <c r="M276" s="139" t="str">
        <f t="shared" si="40"/>
        <v/>
      </c>
      <c r="N276" s="139" t="str">
        <f t="shared" si="41"/>
        <v/>
      </c>
      <c r="X276" s="139" t="s">
        <v>1226</v>
      </c>
      <c r="Y276" s="139" t="s">
        <v>1227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9"/>
        <v/>
      </c>
      <c r="E277" s="149"/>
      <c r="F277" s="144" t="str">
        <f t="shared" si="42"/>
        <v/>
      </c>
      <c r="G277" s="183"/>
      <c r="H277" s="144" t="str">
        <f t="shared" si="43"/>
        <v/>
      </c>
      <c r="I277" s="182"/>
      <c r="J277" s="182"/>
      <c r="K277" s="182"/>
      <c r="M277" s="139" t="str">
        <f t="shared" si="40"/>
        <v/>
      </c>
      <c r="N277" s="139" t="str">
        <f t="shared" si="41"/>
        <v/>
      </c>
      <c r="X277" s="139" t="s">
        <v>1228</v>
      </c>
      <c r="Y277" s="139" t="s">
        <v>1861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9"/>
        <v/>
      </c>
      <c r="E278" s="149"/>
      <c r="F278" s="144" t="str">
        <f t="shared" si="42"/>
        <v/>
      </c>
      <c r="G278" s="183"/>
      <c r="H278" s="144" t="str">
        <f t="shared" si="43"/>
        <v/>
      </c>
      <c r="I278" s="182"/>
      <c r="J278" s="182"/>
      <c r="K278" s="182"/>
      <c r="M278" s="139" t="str">
        <f t="shared" si="40"/>
        <v/>
      </c>
      <c r="N278" s="139" t="str">
        <f t="shared" si="41"/>
        <v/>
      </c>
      <c r="X278" s="139" t="s">
        <v>1229</v>
      </c>
      <c r="Y278" s="139" t="s">
        <v>1862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9"/>
        <v/>
      </c>
      <c r="E279" s="149"/>
      <c r="F279" s="144" t="str">
        <f t="shared" si="42"/>
        <v/>
      </c>
      <c r="G279" s="183"/>
      <c r="H279" s="144" t="str">
        <f t="shared" si="43"/>
        <v/>
      </c>
      <c r="I279" s="182"/>
      <c r="J279" s="182"/>
      <c r="K279" s="182"/>
      <c r="M279" s="139" t="str">
        <f t="shared" si="40"/>
        <v/>
      </c>
      <c r="N279" s="139" t="str">
        <f t="shared" si="41"/>
        <v/>
      </c>
      <c r="X279" s="139" t="s">
        <v>1230</v>
      </c>
      <c r="Y279" s="139" t="s">
        <v>1863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9"/>
        <v/>
      </c>
      <c r="E280" s="149"/>
      <c r="F280" s="144" t="str">
        <f t="shared" si="42"/>
        <v/>
      </c>
      <c r="G280" s="183"/>
      <c r="H280" s="144" t="str">
        <f t="shared" si="43"/>
        <v/>
      </c>
      <c r="I280" s="182"/>
      <c r="J280" s="182"/>
      <c r="K280" s="182"/>
      <c r="M280" s="139" t="str">
        <f t="shared" si="40"/>
        <v/>
      </c>
      <c r="N280" s="139" t="str">
        <f t="shared" si="41"/>
        <v/>
      </c>
      <c r="X280" s="139" t="s">
        <v>1231</v>
      </c>
      <c r="Y280" s="139" t="s">
        <v>1232</v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9"/>
        <v/>
      </c>
      <c r="E281" s="149"/>
      <c r="F281" s="144" t="str">
        <f t="shared" si="42"/>
        <v/>
      </c>
      <c r="G281" s="183"/>
      <c r="H281" s="144" t="str">
        <f t="shared" si="43"/>
        <v/>
      </c>
      <c r="I281" s="182"/>
      <c r="J281" s="182"/>
      <c r="K281" s="182"/>
      <c r="M281" s="139" t="str">
        <f t="shared" si="40"/>
        <v/>
      </c>
      <c r="N281" s="139" t="str">
        <f t="shared" si="41"/>
        <v/>
      </c>
      <c r="X281" s="139" t="s">
        <v>1233</v>
      </c>
      <c r="Y281" s="139" t="s">
        <v>1864</v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9"/>
        <v/>
      </c>
      <c r="E282" s="149"/>
      <c r="F282" s="144" t="str">
        <f t="shared" si="42"/>
        <v/>
      </c>
      <c r="G282" s="183"/>
      <c r="H282" s="144" t="str">
        <f t="shared" si="43"/>
        <v/>
      </c>
      <c r="I282" s="182"/>
      <c r="J282" s="182"/>
      <c r="K282" s="182"/>
      <c r="M282" s="139" t="str">
        <f t="shared" si="40"/>
        <v/>
      </c>
      <c r="N282" s="139" t="str">
        <f t="shared" si="41"/>
        <v/>
      </c>
      <c r="X282" s="139" t="s">
        <v>1234</v>
      </c>
      <c r="Y282" s="139" t="s">
        <v>1865</v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9"/>
        <v/>
      </c>
      <c r="E283" s="149"/>
      <c r="F283" s="144" t="str">
        <f t="shared" si="42"/>
        <v/>
      </c>
      <c r="G283" s="183"/>
      <c r="H283" s="144" t="str">
        <f t="shared" si="43"/>
        <v/>
      </c>
      <c r="I283" s="182"/>
      <c r="J283" s="182"/>
      <c r="K283" s="182"/>
      <c r="M283" s="139" t="str">
        <f t="shared" si="40"/>
        <v/>
      </c>
      <c r="N283" s="139" t="str">
        <f t="shared" si="41"/>
        <v/>
      </c>
      <c r="X283" s="139" t="s">
        <v>1235</v>
      </c>
      <c r="Y283" s="139" t="s">
        <v>1236</v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ref="D284:D347" si="44">IFERROR(VLOOKUP(C284,$O$6:$P$23,2,FALSE),"")</f>
        <v/>
      </c>
      <c r="E284" s="149"/>
      <c r="F284" s="144" t="str">
        <f t="shared" si="42"/>
        <v/>
      </c>
      <c r="G284" s="183"/>
      <c r="H284" s="144" t="str">
        <f t="shared" si="43"/>
        <v/>
      </c>
      <c r="I284" s="182"/>
      <c r="J284" s="182"/>
      <c r="K284" s="182"/>
      <c r="M284" s="139" t="str">
        <f t="shared" ref="M284:M347" si="45">LEFT(E284,3)</f>
        <v/>
      </c>
      <c r="N284" s="139" t="str">
        <f t="shared" ref="N284:N347" si="46">LEFT(E284,2)</f>
        <v/>
      </c>
      <c r="X284" s="139" t="s">
        <v>1237</v>
      </c>
      <c r="Y284" s="139" t="s">
        <v>1238</v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44"/>
        <v/>
      </c>
      <c r="E285" s="149"/>
      <c r="F285" s="144" t="str">
        <f t="shared" si="42"/>
        <v/>
      </c>
      <c r="G285" s="183"/>
      <c r="H285" s="144" t="str">
        <f t="shared" si="43"/>
        <v/>
      </c>
      <c r="I285" s="182"/>
      <c r="J285" s="182"/>
      <c r="K285" s="182"/>
      <c r="M285" s="139" t="str">
        <f t="shared" si="45"/>
        <v/>
      </c>
      <c r="N285" s="139" t="str">
        <f t="shared" si="46"/>
        <v/>
      </c>
      <c r="X285" s="139" t="s">
        <v>2161</v>
      </c>
      <c r="Y285" s="139" t="s">
        <v>2162</v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44"/>
        <v/>
      </c>
      <c r="E286" s="149"/>
      <c r="F286" s="144" t="str">
        <f t="shared" si="42"/>
        <v/>
      </c>
      <c r="G286" s="183"/>
      <c r="H286" s="144" t="str">
        <f t="shared" si="43"/>
        <v/>
      </c>
      <c r="I286" s="182"/>
      <c r="J286" s="182"/>
      <c r="K286" s="182"/>
      <c r="M286" s="139" t="str">
        <f t="shared" si="45"/>
        <v/>
      </c>
      <c r="N286" s="139" t="str">
        <f t="shared" si="46"/>
        <v/>
      </c>
      <c r="X286" s="139" t="s">
        <v>2163</v>
      </c>
      <c r="Y286" s="139" t="s">
        <v>2164</v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44"/>
        <v/>
      </c>
      <c r="E287" s="149"/>
      <c r="F287" s="144" t="str">
        <f t="shared" si="42"/>
        <v/>
      </c>
      <c r="G287" s="183"/>
      <c r="H287" s="144" t="str">
        <f t="shared" si="43"/>
        <v/>
      </c>
      <c r="I287" s="182"/>
      <c r="J287" s="182"/>
      <c r="K287" s="182"/>
      <c r="M287" s="139" t="str">
        <f t="shared" si="45"/>
        <v/>
      </c>
      <c r="N287" s="139" t="str">
        <f t="shared" si="46"/>
        <v/>
      </c>
      <c r="X287" s="139" t="s">
        <v>2165</v>
      </c>
      <c r="Y287" s="139" t="s">
        <v>2166</v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44"/>
        <v/>
      </c>
      <c r="E288" s="149"/>
      <c r="F288" s="144" t="str">
        <f t="shared" si="42"/>
        <v/>
      </c>
      <c r="G288" s="183"/>
      <c r="H288" s="144" t="str">
        <f t="shared" si="43"/>
        <v/>
      </c>
      <c r="I288" s="182"/>
      <c r="J288" s="182"/>
      <c r="K288" s="182"/>
      <c r="M288" s="139" t="str">
        <f t="shared" si="45"/>
        <v/>
      </c>
      <c r="N288" s="139" t="str">
        <f t="shared" si="46"/>
        <v/>
      </c>
      <c r="X288" s="139" t="s">
        <v>1241</v>
      </c>
      <c r="Y288" s="139" t="s">
        <v>1242</v>
      </c>
    </row>
    <row r="289" spans="1:25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44"/>
        <v/>
      </c>
      <c r="E289" s="149"/>
      <c r="F289" s="144" t="str">
        <f t="shared" si="42"/>
        <v/>
      </c>
      <c r="G289" s="183"/>
      <c r="H289" s="144" t="str">
        <f t="shared" si="43"/>
        <v/>
      </c>
      <c r="I289" s="182"/>
      <c r="J289" s="182"/>
      <c r="K289" s="182"/>
      <c r="M289" s="139" t="str">
        <f t="shared" si="45"/>
        <v/>
      </c>
      <c r="N289" s="139" t="str">
        <f t="shared" si="46"/>
        <v/>
      </c>
      <c r="X289" s="139" t="s">
        <v>1243</v>
      </c>
      <c r="Y289" s="139" t="s">
        <v>1244</v>
      </c>
    </row>
    <row r="290" spans="1:25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44"/>
        <v/>
      </c>
      <c r="E290" s="149"/>
      <c r="F290" s="144" t="str">
        <f t="shared" si="42"/>
        <v/>
      </c>
      <c r="G290" s="183"/>
      <c r="H290" s="144" t="str">
        <f t="shared" si="43"/>
        <v/>
      </c>
      <c r="I290" s="182"/>
      <c r="J290" s="182"/>
      <c r="K290" s="182"/>
      <c r="M290" s="139" t="str">
        <f t="shared" si="45"/>
        <v/>
      </c>
      <c r="N290" s="139" t="str">
        <f t="shared" si="46"/>
        <v/>
      </c>
      <c r="X290" s="139" t="s">
        <v>1245</v>
      </c>
      <c r="Y290" s="139" t="s">
        <v>1246</v>
      </c>
    </row>
    <row r="291" spans="1:25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44"/>
        <v/>
      </c>
      <c r="E291" s="149"/>
      <c r="F291" s="144" t="str">
        <f t="shared" si="42"/>
        <v/>
      </c>
      <c r="G291" s="183"/>
      <c r="H291" s="144" t="str">
        <f t="shared" si="43"/>
        <v/>
      </c>
      <c r="I291" s="182"/>
      <c r="J291" s="182"/>
      <c r="K291" s="182"/>
      <c r="M291" s="139" t="str">
        <f t="shared" si="45"/>
        <v/>
      </c>
      <c r="N291" s="139" t="str">
        <f t="shared" si="46"/>
        <v/>
      </c>
      <c r="X291" s="139" t="s">
        <v>1247</v>
      </c>
      <c r="Y291" s="139" t="s">
        <v>1248</v>
      </c>
    </row>
    <row r="292" spans="1:25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44"/>
        <v/>
      </c>
      <c r="E292" s="149"/>
      <c r="F292" s="144" t="str">
        <f t="shared" si="42"/>
        <v/>
      </c>
      <c r="G292" s="183"/>
      <c r="H292" s="144" t="str">
        <f t="shared" si="43"/>
        <v/>
      </c>
      <c r="I292" s="182"/>
      <c r="J292" s="182"/>
      <c r="K292" s="182"/>
      <c r="M292" s="139" t="str">
        <f t="shared" si="45"/>
        <v/>
      </c>
      <c r="N292" s="139" t="str">
        <f t="shared" si="46"/>
        <v/>
      </c>
      <c r="X292" s="139" t="s">
        <v>1249</v>
      </c>
      <c r="Y292" s="139" t="s">
        <v>1250</v>
      </c>
    </row>
    <row r="293" spans="1:25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44"/>
        <v/>
      </c>
      <c r="E293" s="149"/>
      <c r="F293" s="144" t="str">
        <f t="shared" si="42"/>
        <v/>
      </c>
      <c r="G293" s="183"/>
      <c r="H293" s="144" t="str">
        <f t="shared" si="43"/>
        <v/>
      </c>
      <c r="I293" s="182"/>
      <c r="J293" s="182"/>
      <c r="K293" s="182"/>
      <c r="M293" s="139" t="str">
        <f t="shared" si="45"/>
        <v/>
      </c>
      <c r="N293" s="139" t="str">
        <f t="shared" si="46"/>
        <v/>
      </c>
      <c r="X293" s="139" t="s">
        <v>1251</v>
      </c>
      <c r="Y293" s="139" t="s">
        <v>1252</v>
      </c>
    </row>
    <row r="294" spans="1:25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44"/>
        <v/>
      </c>
      <c r="E294" s="149"/>
      <c r="F294" s="144" t="str">
        <f t="shared" si="42"/>
        <v/>
      </c>
      <c r="G294" s="183"/>
      <c r="H294" s="144" t="str">
        <f t="shared" si="43"/>
        <v/>
      </c>
      <c r="I294" s="182"/>
      <c r="J294" s="182"/>
      <c r="K294" s="182"/>
      <c r="M294" s="139" t="str">
        <f t="shared" si="45"/>
        <v/>
      </c>
      <c r="N294" s="139" t="str">
        <f t="shared" si="46"/>
        <v/>
      </c>
      <c r="X294" s="139" t="s">
        <v>1253</v>
      </c>
      <c r="Y294" s="139" t="s">
        <v>1254</v>
      </c>
    </row>
    <row r="295" spans="1:25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44"/>
        <v/>
      </c>
      <c r="E295" s="149"/>
      <c r="F295" s="144" t="str">
        <f t="shared" si="42"/>
        <v/>
      </c>
      <c r="G295" s="183"/>
      <c r="H295" s="144" t="str">
        <f t="shared" si="43"/>
        <v/>
      </c>
      <c r="I295" s="182"/>
      <c r="J295" s="182"/>
      <c r="K295" s="182"/>
      <c r="M295" s="139" t="str">
        <f t="shared" si="45"/>
        <v/>
      </c>
      <c r="N295" s="139" t="str">
        <f t="shared" si="46"/>
        <v/>
      </c>
      <c r="X295" s="139" t="s">
        <v>1255</v>
      </c>
      <c r="Y295" s="139" t="s">
        <v>1256</v>
      </c>
    </row>
    <row r="296" spans="1:25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44"/>
        <v/>
      </c>
      <c r="E296" s="149"/>
      <c r="F296" s="144" t="str">
        <f t="shared" si="42"/>
        <v/>
      </c>
      <c r="G296" s="183"/>
      <c r="H296" s="144" t="str">
        <f t="shared" si="43"/>
        <v/>
      </c>
      <c r="I296" s="182"/>
      <c r="J296" s="182"/>
      <c r="K296" s="182"/>
      <c r="M296" s="139" t="str">
        <f t="shared" si="45"/>
        <v/>
      </c>
      <c r="N296" s="139" t="str">
        <f t="shared" si="46"/>
        <v/>
      </c>
      <c r="X296" s="139" t="s">
        <v>1257</v>
      </c>
      <c r="Y296" s="139" t="s">
        <v>1258</v>
      </c>
    </row>
    <row r="297" spans="1:25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44"/>
        <v/>
      </c>
      <c r="E297" s="149"/>
      <c r="F297" s="144" t="str">
        <f t="shared" si="42"/>
        <v/>
      </c>
      <c r="G297" s="183"/>
      <c r="H297" s="144" t="str">
        <f t="shared" si="43"/>
        <v/>
      </c>
      <c r="I297" s="182"/>
      <c r="J297" s="182"/>
      <c r="K297" s="182"/>
      <c r="M297" s="139" t="str">
        <f t="shared" si="45"/>
        <v/>
      </c>
      <c r="N297" s="139" t="str">
        <f t="shared" si="46"/>
        <v/>
      </c>
      <c r="X297" s="139" t="s">
        <v>1259</v>
      </c>
      <c r="Y297" s="139" t="s">
        <v>1260</v>
      </c>
    </row>
    <row r="298" spans="1:25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44"/>
        <v/>
      </c>
      <c r="E298" s="149"/>
      <c r="F298" s="144" t="str">
        <f t="shared" si="42"/>
        <v/>
      </c>
      <c r="G298" s="183"/>
      <c r="H298" s="144" t="str">
        <f t="shared" si="43"/>
        <v/>
      </c>
      <c r="I298" s="182"/>
      <c r="J298" s="182"/>
      <c r="K298" s="182"/>
      <c r="M298" s="139" t="str">
        <f t="shared" si="45"/>
        <v/>
      </c>
      <c r="N298" s="139" t="str">
        <f t="shared" si="46"/>
        <v/>
      </c>
      <c r="X298" s="139" t="s">
        <v>1261</v>
      </c>
      <c r="Y298" s="139" t="s">
        <v>1262</v>
      </c>
    </row>
    <row r="299" spans="1:25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44"/>
        <v/>
      </c>
      <c r="E299" s="149"/>
      <c r="F299" s="144" t="str">
        <f t="shared" si="42"/>
        <v/>
      </c>
      <c r="G299" s="183"/>
      <c r="H299" s="144" t="str">
        <f t="shared" si="43"/>
        <v/>
      </c>
      <c r="I299" s="182"/>
      <c r="J299" s="182"/>
      <c r="K299" s="182"/>
      <c r="M299" s="139" t="str">
        <f t="shared" si="45"/>
        <v/>
      </c>
      <c r="N299" s="139" t="str">
        <f t="shared" si="46"/>
        <v/>
      </c>
      <c r="X299" s="139" t="s">
        <v>1263</v>
      </c>
      <c r="Y299" s="139" t="s">
        <v>1264</v>
      </c>
    </row>
    <row r="300" spans="1:25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44"/>
        <v/>
      </c>
      <c r="E300" s="149"/>
      <c r="F300" s="144" t="str">
        <f t="shared" si="42"/>
        <v/>
      </c>
      <c r="G300" s="183"/>
      <c r="H300" s="144" t="str">
        <f t="shared" si="43"/>
        <v/>
      </c>
      <c r="I300" s="182"/>
      <c r="J300" s="182"/>
      <c r="K300" s="182"/>
      <c r="M300" s="139" t="str">
        <f t="shared" si="45"/>
        <v/>
      </c>
      <c r="N300" s="139" t="str">
        <f t="shared" si="46"/>
        <v/>
      </c>
      <c r="X300" s="139" t="s">
        <v>2167</v>
      </c>
      <c r="Y300" s="139" t="s">
        <v>2168</v>
      </c>
    </row>
    <row r="301" spans="1:25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44"/>
        <v/>
      </c>
      <c r="E301" s="149"/>
      <c r="F301" s="144" t="str">
        <f t="shared" ref="F301:F364" si="47">IFERROR(VLOOKUP(E301,$R$5:$T$144,2,FALSE),"")</f>
        <v/>
      </c>
      <c r="G301" s="183"/>
      <c r="H301" s="144" t="str">
        <f t="shared" si="43"/>
        <v/>
      </c>
      <c r="I301" s="182"/>
      <c r="J301" s="182"/>
      <c r="K301" s="182"/>
      <c r="M301" s="139" t="str">
        <f t="shared" si="45"/>
        <v/>
      </c>
      <c r="N301" s="139" t="str">
        <f t="shared" si="46"/>
        <v/>
      </c>
      <c r="X301" s="139" t="s">
        <v>2169</v>
      </c>
      <c r="Y301" s="139" t="s">
        <v>2170</v>
      </c>
    </row>
    <row r="302" spans="1:25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44"/>
        <v/>
      </c>
      <c r="E302" s="149"/>
      <c r="F302" s="144" t="str">
        <f t="shared" si="47"/>
        <v/>
      </c>
      <c r="G302" s="183"/>
      <c r="H302" s="144" t="str">
        <f t="shared" si="43"/>
        <v/>
      </c>
      <c r="I302" s="182"/>
      <c r="J302" s="182"/>
      <c r="K302" s="182"/>
      <c r="M302" s="139" t="str">
        <f t="shared" si="45"/>
        <v/>
      </c>
      <c r="N302" s="139" t="str">
        <f t="shared" si="46"/>
        <v/>
      </c>
      <c r="X302" s="139" t="s">
        <v>2171</v>
      </c>
      <c r="Y302" s="139" t="s">
        <v>2172</v>
      </c>
    </row>
    <row r="303" spans="1:25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44"/>
        <v/>
      </c>
      <c r="E303" s="149"/>
      <c r="F303" s="144" t="str">
        <f t="shared" si="47"/>
        <v/>
      </c>
      <c r="G303" s="183"/>
      <c r="H303" s="144" t="str">
        <f t="shared" si="43"/>
        <v/>
      </c>
      <c r="I303" s="182"/>
      <c r="J303" s="182"/>
      <c r="K303" s="182"/>
      <c r="M303" s="139" t="str">
        <f t="shared" si="45"/>
        <v/>
      </c>
      <c r="N303" s="139" t="str">
        <f t="shared" si="46"/>
        <v/>
      </c>
      <c r="X303" s="139" t="s">
        <v>1266</v>
      </c>
      <c r="Y303" s="139" t="s">
        <v>1267</v>
      </c>
    </row>
    <row r="304" spans="1:25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44"/>
        <v/>
      </c>
      <c r="E304" s="149"/>
      <c r="F304" s="144" t="str">
        <f t="shared" si="47"/>
        <v/>
      </c>
      <c r="G304" s="183"/>
      <c r="H304" s="144" t="str">
        <f t="shared" si="43"/>
        <v/>
      </c>
      <c r="I304" s="182"/>
      <c r="J304" s="182"/>
      <c r="K304" s="182"/>
      <c r="M304" s="139" t="str">
        <f t="shared" si="45"/>
        <v/>
      </c>
      <c r="N304" s="139" t="str">
        <f t="shared" si="4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44"/>
        <v/>
      </c>
      <c r="E305" s="149"/>
      <c r="F305" s="144" t="str">
        <f t="shared" si="47"/>
        <v/>
      </c>
      <c r="G305" s="183"/>
      <c r="H305" s="144" t="str">
        <f t="shared" si="43"/>
        <v/>
      </c>
      <c r="I305" s="182"/>
      <c r="J305" s="182"/>
      <c r="K305" s="182"/>
      <c r="M305" s="139" t="str">
        <f t="shared" si="45"/>
        <v/>
      </c>
      <c r="N305" s="139" t="str">
        <f t="shared" si="4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44"/>
        <v/>
      </c>
      <c r="E306" s="149"/>
      <c r="F306" s="144" t="str">
        <f t="shared" si="47"/>
        <v/>
      </c>
      <c r="G306" s="183"/>
      <c r="H306" s="144" t="str">
        <f t="shared" si="43"/>
        <v/>
      </c>
      <c r="I306" s="182"/>
      <c r="J306" s="182"/>
      <c r="K306" s="182"/>
      <c r="M306" s="139" t="str">
        <f t="shared" si="45"/>
        <v/>
      </c>
      <c r="N306" s="139" t="str">
        <f t="shared" si="4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44"/>
        <v/>
      </c>
      <c r="E307" s="149"/>
      <c r="F307" s="144" t="str">
        <f t="shared" si="47"/>
        <v/>
      </c>
      <c r="G307" s="183"/>
      <c r="H307" s="144" t="str">
        <f t="shared" si="43"/>
        <v/>
      </c>
      <c r="I307" s="182"/>
      <c r="J307" s="182"/>
      <c r="K307" s="182"/>
      <c r="M307" s="139" t="str">
        <f t="shared" si="45"/>
        <v/>
      </c>
      <c r="N307" s="139" t="str">
        <f t="shared" si="4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44"/>
        <v/>
      </c>
      <c r="E308" s="149"/>
      <c r="F308" s="144" t="str">
        <f t="shared" si="47"/>
        <v/>
      </c>
      <c r="G308" s="183"/>
      <c r="H308" s="144" t="str">
        <f t="shared" si="43"/>
        <v/>
      </c>
      <c r="I308" s="182"/>
      <c r="J308" s="182"/>
      <c r="K308" s="182"/>
      <c r="M308" s="139" t="str">
        <f t="shared" si="45"/>
        <v/>
      </c>
      <c r="N308" s="139" t="str">
        <f t="shared" si="4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44"/>
        <v/>
      </c>
      <c r="E309" s="149"/>
      <c r="F309" s="144" t="str">
        <f t="shared" si="47"/>
        <v/>
      </c>
      <c r="G309" s="183"/>
      <c r="H309" s="144" t="str">
        <f t="shared" ref="H309:H372" si="48">IFERROR(VLOOKUP(G309,$X$6:$Y$321,2,FALSE),"")</f>
        <v/>
      </c>
      <c r="I309" s="182"/>
      <c r="J309" s="182"/>
      <c r="K309" s="182"/>
      <c r="M309" s="139" t="str">
        <f t="shared" si="45"/>
        <v/>
      </c>
      <c r="N309" s="139" t="str">
        <f t="shared" si="4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44"/>
        <v/>
      </c>
      <c r="E310" s="149"/>
      <c r="F310" s="144" t="str">
        <f t="shared" si="47"/>
        <v/>
      </c>
      <c r="G310" s="183"/>
      <c r="H310" s="144" t="str">
        <f t="shared" si="48"/>
        <v/>
      </c>
      <c r="I310" s="182"/>
      <c r="J310" s="182"/>
      <c r="K310" s="182"/>
      <c r="M310" s="139" t="str">
        <f t="shared" si="45"/>
        <v/>
      </c>
      <c r="N310" s="139" t="str">
        <f t="shared" si="4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44"/>
        <v/>
      </c>
      <c r="E311" s="149"/>
      <c r="F311" s="144" t="str">
        <f t="shared" si="47"/>
        <v/>
      </c>
      <c r="G311" s="183"/>
      <c r="H311" s="144" t="str">
        <f t="shared" si="48"/>
        <v/>
      </c>
      <c r="I311" s="182"/>
      <c r="J311" s="182"/>
      <c r="K311" s="182"/>
      <c r="M311" s="139" t="str">
        <f t="shared" si="45"/>
        <v/>
      </c>
      <c r="N311" s="139" t="str">
        <f t="shared" si="4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44"/>
        <v/>
      </c>
      <c r="E312" s="149"/>
      <c r="F312" s="144" t="str">
        <f t="shared" si="47"/>
        <v/>
      </c>
      <c r="G312" s="183"/>
      <c r="H312" s="144" t="str">
        <f t="shared" si="48"/>
        <v/>
      </c>
      <c r="I312" s="182"/>
      <c r="J312" s="182"/>
      <c r="K312" s="182"/>
      <c r="M312" s="139" t="str">
        <f t="shared" si="45"/>
        <v/>
      </c>
      <c r="N312" s="139" t="str">
        <f t="shared" si="4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44"/>
        <v/>
      </c>
      <c r="E313" s="149"/>
      <c r="F313" s="144" t="str">
        <f t="shared" si="47"/>
        <v/>
      </c>
      <c r="G313" s="183"/>
      <c r="H313" s="144" t="str">
        <f t="shared" si="48"/>
        <v/>
      </c>
      <c r="I313" s="182"/>
      <c r="J313" s="182"/>
      <c r="K313" s="182"/>
      <c r="M313" s="139" t="str">
        <f t="shared" si="45"/>
        <v/>
      </c>
      <c r="N313" s="139" t="str">
        <f t="shared" si="4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44"/>
        <v/>
      </c>
      <c r="E314" s="149"/>
      <c r="F314" s="144" t="str">
        <f t="shared" si="47"/>
        <v/>
      </c>
      <c r="G314" s="183"/>
      <c r="H314" s="144" t="str">
        <f t="shared" si="48"/>
        <v/>
      </c>
      <c r="I314" s="182"/>
      <c r="J314" s="182"/>
      <c r="K314" s="182"/>
      <c r="M314" s="139" t="str">
        <f t="shared" si="45"/>
        <v/>
      </c>
      <c r="N314" s="139" t="str">
        <f t="shared" si="4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44"/>
        <v/>
      </c>
      <c r="E315" s="149"/>
      <c r="F315" s="144" t="str">
        <f t="shared" si="47"/>
        <v/>
      </c>
      <c r="G315" s="183"/>
      <c r="H315" s="144" t="str">
        <f t="shared" si="48"/>
        <v/>
      </c>
      <c r="I315" s="182"/>
      <c r="J315" s="182"/>
      <c r="K315" s="182"/>
      <c r="M315" s="139" t="str">
        <f t="shared" si="45"/>
        <v/>
      </c>
      <c r="N315" s="139" t="str">
        <f t="shared" si="4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44"/>
        <v/>
      </c>
      <c r="E316" s="149"/>
      <c r="F316" s="144" t="str">
        <f t="shared" si="47"/>
        <v/>
      </c>
      <c r="G316" s="183"/>
      <c r="H316" s="144" t="str">
        <f t="shared" si="48"/>
        <v/>
      </c>
      <c r="I316" s="182"/>
      <c r="J316" s="182"/>
      <c r="K316" s="182"/>
      <c r="M316" s="139" t="str">
        <f t="shared" si="45"/>
        <v/>
      </c>
      <c r="N316" s="139" t="str">
        <f t="shared" si="4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44"/>
        <v/>
      </c>
      <c r="E317" s="149"/>
      <c r="F317" s="144" t="str">
        <f t="shared" si="47"/>
        <v/>
      </c>
      <c r="G317" s="183"/>
      <c r="H317" s="144" t="str">
        <f t="shared" si="48"/>
        <v/>
      </c>
      <c r="I317" s="182"/>
      <c r="J317" s="182"/>
      <c r="K317" s="182"/>
      <c r="M317" s="139" t="str">
        <f t="shared" si="45"/>
        <v/>
      </c>
      <c r="N317" s="139" t="str">
        <f t="shared" si="4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44"/>
        <v/>
      </c>
      <c r="E318" s="149"/>
      <c r="F318" s="144" t="str">
        <f t="shared" si="47"/>
        <v/>
      </c>
      <c r="G318" s="183"/>
      <c r="H318" s="144" t="str">
        <f t="shared" si="48"/>
        <v/>
      </c>
      <c r="I318" s="182"/>
      <c r="J318" s="182"/>
      <c r="K318" s="182"/>
      <c r="M318" s="139" t="str">
        <f t="shared" si="45"/>
        <v/>
      </c>
      <c r="N318" s="139" t="str">
        <f t="shared" si="4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44"/>
        <v/>
      </c>
      <c r="E319" s="149"/>
      <c r="F319" s="144" t="str">
        <f t="shared" si="47"/>
        <v/>
      </c>
      <c r="G319" s="183"/>
      <c r="H319" s="144" t="str">
        <f t="shared" si="48"/>
        <v/>
      </c>
      <c r="I319" s="182"/>
      <c r="J319" s="182"/>
      <c r="K319" s="182"/>
      <c r="M319" s="139" t="str">
        <f t="shared" si="45"/>
        <v/>
      </c>
      <c r="N319" s="139" t="str">
        <f t="shared" si="4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44"/>
        <v/>
      </c>
      <c r="E320" s="149"/>
      <c r="F320" s="144" t="str">
        <f t="shared" si="47"/>
        <v/>
      </c>
      <c r="G320" s="183"/>
      <c r="H320" s="144" t="str">
        <f t="shared" si="48"/>
        <v/>
      </c>
      <c r="I320" s="182"/>
      <c r="J320" s="182"/>
      <c r="K320" s="182"/>
      <c r="M320" s="139" t="str">
        <f t="shared" si="45"/>
        <v/>
      </c>
      <c r="N320" s="139" t="str">
        <f t="shared" si="4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44"/>
        <v/>
      </c>
      <c r="E321" s="149"/>
      <c r="F321" s="144" t="str">
        <f t="shared" si="47"/>
        <v/>
      </c>
      <c r="G321" s="183"/>
      <c r="H321" s="144" t="str">
        <f t="shared" si="48"/>
        <v/>
      </c>
      <c r="I321" s="182"/>
      <c r="J321" s="182"/>
      <c r="K321" s="182"/>
      <c r="M321" s="139" t="str">
        <f t="shared" si="45"/>
        <v/>
      </c>
      <c r="N321" s="139" t="str">
        <f t="shared" si="4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44"/>
        <v/>
      </c>
      <c r="E322" s="149"/>
      <c r="F322" s="144" t="str">
        <f t="shared" si="47"/>
        <v/>
      </c>
      <c r="G322" s="183"/>
      <c r="H322" s="144" t="str">
        <f t="shared" si="48"/>
        <v/>
      </c>
      <c r="I322" s="182"/>
      <c r="J322" s="182"/>
      <c r="K322" s="182"/>
      <c r="M322" s="139" t="str">
        <f t="shared" si="45"/>
        <v/>
      </c>
      <c r="N322" s="139" t="str">
        <f t="shared" si="4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44"/>
        <v/>
      </c>
      <c r="E323" s="149"/>
      <c r="F323" s="144" t="str">
        <f t="shared" si="47"/>
        <v/>
      </c>
      <c r="G323" s="183"/>
      <c r="H323" s="144" t="str">
        <f t="shared" si="48"/>
        <v/>
      </c>
      <c r="I323" s="182"/>
      <c r="J323" s="182"/>
      <c r="K323" s="182"/>
      <c r="M323" s="139" t="str">
        <f t="shared" si="45"/>
        <v/>
      </c>
      <c r="N323" s="139" t="str">
        <f t="shared" si="4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si="44"/>
        <v/>
      </c>
      <c r="E324" s="149"/>
      <c r="F324" s="144" t="str">
        <f t="shared" si="47"/>
        <v/>
      </c>
      <c r="G324" s="183"/>
      <c r="H324" s="144" t="str">
        <f t="shared" si="48"/>
        <v/>
      </c>
      <c r="I324" s="182"/>
      <c r="J324" s="182"/>
      <c r="K324" s="182"/>
      <c r="M324" s="139" t="str">
        <f t="shared" si="45"/>
        <v/>
      </c>
      <c r="N324" s="139" t="str">
        <f t="shared" si="46"/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44"/>
        <v/>
      </c>
      <c r="E325" s="149"/>
      <c r="F325" s="144" t="str">
        <f t="shared" si="47"/>
        <v/>
      </c>
      <c r="G325" s="183"/>
      <c r="H325" s="144" t="str">
        <f t="shared" si="48"/>
        <v/>
      </c>
      <c r="I325" s="182"/>
      <c r="J325" s="182"/>
      <c r="K325" s="182"/>
      <c r="M325" s="139" t="str">
        <f t="shared" si="45"/>
        <v/>
      </c>
      <c r="N325" s="139" t="str">
        <f t="shared" si="46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44"/>
        <v/>
      </c>
      <c r="E326" s="149"/>
      <c r="F326" s="144" t="str">
        <f t="shared" si="47"/>
        <v/>
      </c>
      <c r="G326" s="183"/>
      <c r="H326" s="144" t="str">
        <f t="shared" si="48"/>
        <v/>
      </c>
      <c r="I326" s="182"/>
      <c r="J326" s="182"/>
      <c r="K326" s="182"/>
      <c r="M326" s="139" t="str">
        <f t="shared" si="45"/>
        <v/>
      </c>
      <c r="N326" s="139" t="str">
        <f t="shared" si="46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44"/>
        <v/>
      </c>
      <c r="E327" s="149"/>
      <c r="F327" s="144" t="str">
        <f t="shared" si="47"/>
        <v/>
      </c>
      <c r="G327" s="183"/>
      <c r="H327" s="144" t="str">
        <f t="shared" si="48"/>
        <v/>
      </c>
      <c r="I327" s="182"/>
      <c r="J327" s="182"/>
      <c r="K327" s="182"/>
      <c r="M327" s="139" t="str">
        <f t="shared" si="45"/>
        <v/>
      </c>
      <c r="N327" s="139" t="str">
        <f t="shared" si="46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44"/>
        <v/>
      </c>
      <c r="E328" s="149"/>
      <c r="F328" s="144" t="str">
        <f t="shared" si="47"/>
        <v/>
      </c>
      <c r="G328" s="183"/>
      <c r="H328" s="144" t="str">
        <f t="shared" si="48"/>
        <v/>
      </c>
      <c r="I328" s="182"/>
      <c r="J328" s="182"/>
      <c r="K328" s="182"/>
      <c r="M328" s="139" t="str">
        <f t="shared" si="45"/>
        <v/>
      </c>
      <c r="N328" s="139" t="str">
        <f t="shared" si="46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44"/>
        <v/>
      </c>
      <c r="E329" s="149"/>
      <c r="F329" s="144" t="str">
        <f t="shared" si="47"/>
        <v/>
      </c>
      <c r="G329" s="183"/>
      <c r="H329" s="144" t="str">
        <f t="shared" si="48"/>
        <v/>
      </c>
      <c r="I329" s="182"/>
      <c r="J329" s="182"/>
      <c r="K329" s="182"/>
      <c r="M329" s="139" t="str">
        <f t="shared" si="45"/>
        <v/>
      </c>
      <c r="N329" s="139" t="str">
        <f t="shared" si="46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44"/>
        <v/>
      </c>
      <c r="E330" s="149"/>
      <c r="F330" s="144" t="str">
        <f t="shared" si="47"/>
        <v/>
      </c>
      <c r="G330" s="183"/>
      <c r="H330" s="144" t="str">
        <f t="shared" si="48"/>
        <v/>
      </c>
      <c r="I330" s="182"/>
      <c r="J330" s="182"/>
      <c r="K330" s="182"/>
      <c r="M330" s="139" t="str">
        <f t="shared" si="45"/>
        <v/>
      </c>
      <c r="N330" s="139" t="str">
        <f t="shared" si="46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44"/>
        <v/>
      </c>
      <c r="E331" s="149"/>
      <c r="F331" s="144" t="str">
        <f t="shared" si="47"/>
        <v/>
      </c>
      <c r="G331" s="183"/>
      <c r="H331" s="144" t="str">
        <f t="shared" si="48"/>
        <v/>
      </c>
      <c r="I331" s="182"/>
      <c r="J331" s="182"/>
      <c r="K331" s="182"/>
      <c r="M331" s="139" t="str">
        <f t="shared" si="45"/>
        <v/>
      </c>
      <c r="N331" s="139" t="str">
        <f t="shared" si="46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44"/>
        <v/>
      </c>
      <c r="E332" s="149"/>
      <c r="F332" s="144" t="str">
        <f t="shared" si="47"/>
        <v/>
      </c>
      <c r="G332" s="183"/>
      <c r="H332" s="144" t="str">
        <f t="shared" si="48"/>
        <v/>
      </c>
      <c r="I332" s="182"/>
      <c r="J332" s="182"/>
      <c r="K332" s="182"/>
      <c r="M332" s="139" t="str">
        <f t="shared" si="45"/>
        <v/>
      </c>
      <c r="N332" s="139" t="str">
        <f t="shared" si="46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44"/>
        <v/>
      </c>
      <c r="E333" s="149"/>
      <c r="F333" s="144" t="str">
        <f t="shared" si="47"/>
        <v/>
      </c>
      <c r="G333" s="183"/>
      <c r="H333" s="144" t="str">
        <f t="shared" si="48"/>
        <v/>
      </c>
      <c r="I333" s="182"/>
      <c r="J333" s="182"/>
      <c r="K333" s="182"/>
      <c r="M333" s="139" t="str">
        <f t="shared" si="45"/>
        <v/>
      </c>
      <c r="N333" s="139" t="str">
        <f t="shared" si="46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44"/>
        <v/>
      </c>
      <c r="E334" s="149"/>
      <c r="F334" s="144" t="str">
        <f t="shared" si="47"/>
        <v/>
      </c>
      <c r="G334" s="183"/>
      <c r="H334" s="144" t="str">
        <f t="shared" si="48"/>
        <v/>
      </c>
      <c r="I334" s="182"/>
      <c r="J334" s="182"/>
      <c r="K334" s="182"/>
      <c r="M334" s="139" t="str">
        <f t="shared" si="45"/>
        <v/>
      </c>
      <c r="N334" s="139" t="str">
        <f t="shared" si="46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44"/>
        <v/>
      </c>
      <c r="E335" s="149"/>
      <c r="F335" s="144" t="str">
        <f t="shared" si="47"/>
        <v/>
      </c>
      <c r="G335" s="183"/>
      <c r="H335" s="144" t="str">
        <f t="shared" si="48"/>
        <v/>
      </c>
      <c r="I335" s="182"/>
      <c r="J335" s="182"/>
      <c r="K335" s="182"/>
      <c r="M335" s="139" t="str">
        <f t="shared" si="45"/>
        <v/>
      </c>
      <c r="N335" s="139" t="str">
        <f t="shared" si="46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44"/>
        <v/>
      </c>
      <c r="E336" s="149"/>
      <c r="F336" s="144" t="str">
        <f t="shared" si="47"/>
        <v/>
      </c>
      <c r="G336" s="183"/>
      <c r="H336" s="144" t="str">
        <f t="shared" si="48"/>
        <v/>
      </c>
      <c r="I336" s="182"/>
      <c r="J336" s="182"/>
      <c r="K336" s="182"/>
      <c r="M336" s="139" t="str">
        <f t="shared" si="45"/>
        <v/>
      </c>
      <c r="N336" s="139" t="str">
        <f t="shared" si="46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44"/>
        <v/>
      </c>
      <c r="E337" s="149"/>
      <c r="F337" s="144" t="str">
        <f t="shared" si="47"/>
        <v/>
      </c>
      <c r="G337" s="183"/>
      <c r="H337" s="144" t="str">
        <f t="shared" si="48"/>
        <v/>
      </c>
      <c r="I337" s="182"/>
      <c r="J337" s="182"/>
      <c r="K337" s="182"/>
      <c r="M337" s="139" t="str">
        <f t="shared" si="45"/>
        <v/>
      </c>
      <c r="N337" s="139" t="str">
        <f t="shared" si="46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44"/>
        <v/>
      </c>
      <c r="E338" s="149"/>
      <c r="F338" s="144" t="str">
        <f t="shared" si="47"/>
        <v/>
      </c>
      <c r="G338" s="183"/>
      <c r="H338" s="144" t="str">
        <f t="shared" si="48"/>
        <v/>
      </c>
      <c r="I338" s="182"/>
      <c r="J338" s="182"/>
      <c r="K338" s="182"/>
      <c r="M338" s="139" t="str">
        <f t="shared" si="45"/>
        <v/>
      </c>
      <c r="N338" s="139" t="str">
        <f t="shared" si="46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44"/>
        <v/>
      </c>
      <c r="E339" s="149"/>
      <c r="F339" s="144" t="str">
        <f t="shared" si="47"/>
        <v/>
      </c>
      <c r="G339" s="183"/>
      <c r="H339" s="144" t="str">
        <f t="shared" si="48"/>
        <v/>
      </c>
      <c r="I339" s="182"/>
      <c r="J339" s="182"/>
      <c r="K339" s="182"/>
      <c r="M339" s="139" t="str">
        <f t="shared" si="45"/>
        <v/>
      </c>
      <c r="N339" s="139" t="str">
        <f t="shared" si="46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44"/>
        <v/>
      </c>
      <c r="E340" s="149"/>
      <c r="F340" s="144" t="str">
        <f t="shared" si="47"/>
        <v/>
      </c>
      <c r="G340" s="183"/>
      <c r="H340" s="144" t="str">
        <f t="shared" si="48"/>
        <v/>
      </c>
      <c r="I340" s="182"/>
      <c r="J340" s="182"/>
      <c r="K340" s="182"/>
      <c r="M340" s="139" t="str">
        <f t="shared" si="45"/>
        <v/>
      </c>
      <c r="N340" s="139" t="str">
        <f t="shared" si="46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44"/>
        <v/>
      </c>
      <c r="E341" s="149"/>
      <c r="F341" s="144" t="str">
        <f t="shared" si="47"/>
        <v/>
      </c>
      <c r="G341" s="183"/>
      <c r="H341" s="144" t="str">
        <f t="shared" si="48"/>
        <v/>
      </c>
      <c r="I341" s="182"/>
      <c r="J341" s="182"/>
      <c r="K341" s="182"/>
      <c r="M341" s="139" t="str">
        <f t="shared" si="45"/>
        <v/>
      </c>
      <c r="N341" s="139" t="str">
        <f t="shared" si="46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44"/>
        <v/>
      </c>
      <c r="E342" s="149"/>
      <c r="F342" s="144" t="str">
        <f t="shared" si="47"/>
        <v/>
      </c>
      <c r="G342" s="183"/>
      <c r="H342" s="144" t="str">
        <f t="shared" si="48"/>
        <v/>
      </c>
      <c r="I342" s="182"/>
      <c r="J342" s="182"/>
      <c r="K342" s="182"/>
      <c r="M342" s="139" t="str">
        <f t="shared" si="45"/>
        <v/>
      </c>
      <c r="N342" s="139" t="str">
        <f t="shared" si="46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44"/>
        <v/>
      </c>
      <c r="E343" s="149"/>
      <c r="F343" s="144" t="str">
        <f t="shared" si="47"/>
        <v/>
      </c>
      <c r="G343" s="183"/>
      <c r="H343" s="144" t="str">
        <f t="shared" si="48"/>
        <v/>
      </c>
      <c r="I343" s="182"/>
      <c r="J343" s="182"/>
      <c r="K343" s="182"/>
      <c r="M343" s="139" t="str">
        <f t="shared" si="45"/>
        <v/>
      </c>
      <c r="N343" s="139" t="str">
        <f t="shared" si="46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44"/>
        <v/>
      </c>
      <c r="E344" s="149"/>
      <c r="F344" s="144" t="str">
        <f t="shared" si="47"/>
        <v/>
      </c>
      <c r="G344" s="183"/>
      <c r="H344" s="144" t="str">
        <f t="shared" si="48"/>
        <v/>
      </c>
      <c r="I344" s="182"/>
      <c r="J344" s="182"/>
      <c r="K344" s="182"/>
      <c r="M344" s="139" t="str">
        <f t="shared" si="45"/>
        <v/>
      </c>
      <c r="N344" s="139" t="str">
        <f t="shared" si="46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44"/>
        <v/>
      </c>
      <c r="E345" s="149"/>
      <c r="F345" s="144" t="str">
        <f t="shared" si="47"/>
        <v/>
      </c>
      <c r="G345" s="183"/>
      <c r="H345" s="144" t="str">
        <f t="shared" si="48"/>
        <v/>
      </c>
      <c r="I345" s="182"/>
      <c r="J345" s="182"/>
      <c r="K345" s="182"/>
      <c r="M345" s="139" t="str">
        <f t="shared" si="45"/>
        <v/>
      </c>
      <c r="N345" s="139" t="str">
        <f t="shared" si="46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44"/>
        <v/>
      </c>
      <c r="E346" s="149"/>
      <c r="F346" s="144" t="str">
        <f t="shared" si="47"/>
        <v/>
      </c>
      <c r="G346" s="183"/>
      <c r="H346" s="144" t="str">
        <f t="shared" si="48"/>
        <v/>
      </c>
      <c r="I346" s="182"/>
      <c r="J346" s="182"/>
      <c r="K346" s="182"/>
      <c r="M346" s="139" t="str">
        <f t="shared" si="45"/>
        <v/>
      </c>
      <c r="N346" s="139" t="str">
        <f t="shared" si="46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44"/>
        <v/>
      </c>
      <c r="E347" s="149"/>
      <c r="F347" s="144" t="str">
        <f t="shared" si="47"/>
        <v/>
      </c>
      <c r="G347" s="183"/>
      <c r="H347" s="144" t="str">
        <f t="shared" si="48"/>
        <v/>
      </c>
      <c r="I347" s="182"/>
      <c r="J347" s="182"/>
      <c r="K347" s="182"/>
      <c r="M347" s="139" t="str">
        <f t="shared" si="45"/>
        <v/>
      </c>
      <c r="N347" s="139" t="str">
        <f t="shared" si="46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ref="D348:D411" si="49">IFERROR(VLOOKUP(C348,$O$6:$P$23,2,FALSE),"")</f>
        <v/>
      </c>
      <c r="E348" s="149"/>
      <c r="F348" s="144" t="str">
        <f t="shared" si="47"/>
        <v/>
      </c>
      <c r="G348" s="183"/>
      <c r="H348" s="144" t="str">
        <f t="shared" si="48"/>
        <v/>
      </c>
      <c r="I348" s="182"/>
      <c r="J348" s="182"/>
      <c r="K348" s="182"/>
      <c r="M348" s="139" t="str">
        <f t="shared" ref="M348:M411" si="50">LEFT(E348,3)</f>
        <v/>
      </c>
      <c r="N348" s="139" t="str">
        <f t="shared" ref="N348:N411" si="51">LEFT(E348,2)</f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49"/>
        <v/>
      </c>
      <c r="E349" s="149"/>
      <c r="F349" s="144" t="str">
        <f t="shared" si="47"/>
        <v/>
      </c>
      <c r="G349" s="183"/>
      <c r="H349" s="144" t="str">
        <f t="shared" si="48"/>
        <v/>
      </c>
      <c r="I349" s="182"/>
      <c r="J349" s="182"/>
      <c r="K349" s="182"/>
      <c r="M349" s="139" t="str">
        <f t="shared" si="50"/>
        <v/>
      </c>
      <c r="N349" s="139" t="str">
        <f t="shared" si="5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49"/>
        <v/>
      </c>
      <c r="E350" s="149"/>
      <c r="F350" s="144" t="str">
        <f t="shared" si="47"/>
        <v/>
      </c>
      <c r="G350" s="183"/>
      <c r="H350" s="144" t="str">
        <f t="shared" si="48"/>
        <v/>
      </c>
      <c r="I350" s="182"/>
      <c r="J350" s="182"/>
      <c r="K350" s="182"/>
      <c r="M350" s="139" t="str">
        <f t="shared" si="50"/>
        <v/>
      </c>
      <c r="N350" s="139" t="str">
        <f t="shared" si="5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49"/>
        <v/>
      </c>
      <c r="E351" s="149"/>
      <c r="F351" s="144" t="str">
        <f t="shared" si="47"/>
        <v/>
      </c>
      <c r="G351" s="183"/>
      <c r="H351" s="144" t="str">
        <f t="shared" si="48"/>
        <v/>
      </c>
      <c r="I351" s="182"/>
      <c r="J351" s="182"/>
      <c r="K351" s="182"/>
      <c r="M351" s="139" t="str">
        <f t="shared" si="50"/>
        <v/>
      </c>
      <c r="N351" s="139" t="str">
        <f t="shared" si="5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49"/>
        <v/>
      </c>
      <c r="E352" s="149"/>
      <c r="F352" s="144" t="str">
        <f t="shared" si="47"/>
        <v/>
      </c>
      <c r="G352" s="183"/>
      <c r="H352" s="144" t="str">
        <f t="shared" si="48"/>
        <v/>
      </c>
      <c r="I352" s="182"/>
      <c r="J352" s="182"/>
      <c r="K352" s="182"/>
      <c r="M352" s="139" t="str">
        <f t="shared" si="50"/>
        <v/>
      </c>
      <c r="N352" s="139" t="str">
        <f t="shared" si="5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49"/>
        <v/>
      </c>
      <c r="E353" s="149"/>
      <c r="F353" s="144" t="str">
        <f t="shared" si="47"/>
        <v/>
      </c>
      <c r="G353" s="183"/>
      <c r="H353" s="144" t="str">
        <f t="shared" si="48"/>
        <v/>
      </c>
      <c r="I353" s="182"/>
      <c r="J353" s="182"/>
      <c r="K353" s="182"/>
      <c r="M353" s="139" t="str">
        <f t="shared" si="50"/>
        <v/>
      </c>
      <c r="N353" s="139" t="str">
        <f t="shared" si="5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49"/>
        <v/>
      </c>
      <c r="E354" s="149"/>
      <c r="F354" s="144" t="str">
        <f t="shared" si="47"/>
        <v/>
      </c>
      <c r="G354" s="183"/>
      <c r="H354" s="144" t="str">
        <f t="shared" si="48"/>
        <v/>
      </c>
      <c r="I354" s="182"/>
      <c r="J354" s="182"/>
      <c r="K354" s="182"/>
      <c r="M354" s="139" t="str">
        <f t="shared" si="50"/>
        <v/>
      </c>
      <c r="N354" s="139" t="str">
        <f t="shared" si="5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49"/>
        <v/>
      </c>
      <c r="E355" s="149"/>
      <c r="F355" s="144" t="str">
        <f t="shared" si="47"/>
        <v/>
      </c>
      <c r="G355" s="183"/>
      <c r="H355" s="144" t="str">
        <f t="shared" si="48"/>
        <v/>
      </c>
      <c r="I355" s="182"/>
      <c r="J355" s="182"/>
      <c r="K355" s="182"/>
      <c r="M355" s="139" t="str">
        <f t="shared" si="50"/>
        <v/>
      </c>
      <c r="N355" s="139" t="str">
        <f t="shared" si="5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49"/>
        <v/>
      </c>
      <c r="E356" s="149"/>
      <c r="F356" s="144" t="str">
        <f t="shared" si="47"/>
        <v/>
      </c>
      <c r="G356" s="183"/>
      <c r="H356" s="144" t="str">
        <f t="shared" si="48"/>
        <v/>
      </c>
      <c r="I356" s="182"/>
      <c r="J356" s="182"/>
      <c r="K356" s="182"/>
      <c r="M356" s="139" t="str">
        <f t="shared" si="50"/>
        <v/>
      </c>
      <c r="N356" s="139" t="str">
        <f t="shared" si="5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49"/>
        <v/>
      </c>
      <c r="E357" s="149"/>
      <c r="F357" s="144" t="str">
        <f t="shared" si="47"/>
        <v/>
      </c>
      <c r="G357" s="183"/>
      <c r="H357" s="144" t="str">
        <f t="shared" si="48"/>
        <v/>
      </c>
      <c r="I357" s="182"/>
      <c r="J357" s="182"/>
      <c r="K357" s="182"/>
      <c r="M357" s="139" t="str">
        <f t="shared" si="50"/>
        <v/>
      </c>
      <c r="N357" s="139" t="str">
        <f t="shared" si="5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49"/>
        <v/>
      </c>
      <c r="E358" s="149"/>
      <c r="F358" s="144" t="str">
        <f t="shared" si="47"/>
        <v/>
      </c>
      <c r="G358" s="183"/>
      <c r="H358" s="144" t="str">
        <f t="shared" si="48"/>
        <v/>
      </c>
      <c r="I358" s="182"/>
      <c r="J358" s="182"/>
      <c r="K358" s="182"/>
      <c r="M358" s="139" t="str">
        <f t="shared" si="50"/>
        <v/>
      </c>
      <c r="N358" s="139" t="str">
        <f t="shared" si="5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49"/>
        <v/>
      </c>
      <c r="E359" s="149"/>
      <c r="F359" s="144" t="str">
        <f t="shared" si="47"/>
        <v/>
      </c>
      <c r="G359" s="183"/>
      <c r="H359" s="144" t="str">
        <f t="shared" si="48"/>
        <v/>
      </c>
      <c r="I359" s="182"/>
      <c r="J359" s="182"/>
      <c r="K359" s="182"/>
      <c r="M359" s="139" t="str">
        <f t="shared" si="50"/>
        <v/>
      </c>
      <c r="N359" s="139" t="str">
        <f t="shared" si="5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49"/>
        <v/>
      </c>
      <c r="E360" s="149"/>
      <c r="F360" s="144" t="str">
        <f t="shared" si="47"/>
        <v/>
      </c>
      <c r="G360" s="183"/>
      <c r="H360" s="144" t="str">
        <f t="shared" si="48"/>
        <v/>
      </c>
      <c r="I360" s="182"/>
      <c r="J360" s="182"/>
      <c r="K360" s="182"/>
      <c r="M360" s="139" t="str">
        <f t="shared" si="50"/>
        <v/>
      </c>
      <c r="N360" s="139" t="str">
        <f t="shared" si="5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49"/>
        <v/>
      </c>
      <c r="E361" s="149"/>
      <c r="F361" s="144" t="str">
        <f t="shared" si="47"/>
        <v/>
      </c>
      <c r="G361" s="183"/>
      <c r="H361" s="144" t="str">
        <f t="shared" si="48"/>
        <v/>
      </c>
      <c r="I361" s="182"/>
      <c r="J361" s="182"/>
      <c r="K361" s="182"/>
      <c r="M361" s="139" t="str">
        <f t="shared" si="50"/>
        <v/>
      </c>
      <c r="N361" s="139" t="str">
        <f t="shared" si="5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49"/>
        <v/>
      </c>
      <c r="E362" s="149"/>
      <c r="F362" s="144" t="str">
        <f t="shared" si="47"/>
        <v/>
      </c>
      <c r="G362" s="183"/>
      <c r="H362" s="144" t="str">
        <f t="shared" si="48"/>
        <v/>
      </c>
      <c r="I362" s="182"/>
      <c r="J362" s="182"/>
      <c r="K362" s="182"/>
      <c r="M362" s="139" t="str">
        <f t="shared" si="50"/>
        <v/>
      </c>
      <c r="N362" s="139" t="str">
        <f t="shared" si="5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49"/>
        <v/>
      </c>
      <c r="E363" s="149"/>
      <c r="F363" s="144" t="str">
        <f t="shared" si="47"/>
        <v/>
      </c>
      <c r="G363" s="183"/>
      <c r="H363" s="144" t="str">
        <f t="shared" si="48"/>
        <v/>
      </c>
      <c r="I363" s="182"/>
      <c r="J363" s="182"/>
      <c r="K363" s="182"/>
      <c r="M363" s="139" t="str">
        <f t="shared" si="50"/>
        <v/>
      </c>
      <c r="N363" s="139" t="str">
        <f t="shared" si="5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49"/>
        <v/>
      </c>
      <c r="E364" s="149"/>
      <c r="F364" s="144" t="str">
        <f t="shared" si="47"/>
        <v/>
      </c>
      <c r="G364" s="183"/>
      <c r="H364" s="144" t="str">
        <f t="shared" si="48"/>
        <v/>
      </c>
      <c r="I364" s="182"/>
      <c r="J364" s="182"/>
      <c r="K364" s="182"/>
      <c r="M364" s="139" t="str">
        <f t="shared" si="50"/>
        <v/>
      </c>
      <c r="N364" s="139" t="str">
        <f t="shared" si="5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49"/>
        <v/>
      </c>
      <c r="E365" s="149"/>
      <c r="F365" s="144" t="str">
        <f t="shared" ref="F365:F428" si="52">IFERROR(VLOOKUP(E365,$R$5:$T$144,2,FALSE),"")</f>
        <v/>
      </c>
      <c r="G365" s="183"/>
      <c r="H365" s="144" t="str">
        <f t="shared" si="48"/>
        <v/>
      </c>
      <c r="I365" s="182"/>
      <c r="J365" s="182"/>
      <c r="K365" s="182"/>
      <c r="M365" s="139" t="str">
        <f t="shared" si="50"/>
        <v/>
      </c>
      <c r="N365" s="139" t="str">
        <f t="shared" si="5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49"/>
        <v/>
      </c>
      <c r="E366" s="149"/>
      <c r="F366" s="144" t="str">
        <f t="shared" si="52"/>
        <v/>
      </c>
      <c r="G366" s="183"/>
      <c r="H366" s="144" t="str">
        <f t="shared" si="48"/>
        <v/>
      </c>
      <c r="I366" s="182"/>
      <c r="J366" s="182"/>
      <c r="K366" s="182"/>
      <c r="M366" s="139" t="str">
        <f t="shared" si="50"/>
        <v/>
      </c>
      <c r="N366" s="139" t="str">
        <f t="shared" si="5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49"/>
        <v/>
      </c>
      <c r="E367" s="149"/>
      <c r="F367" s="144" t="str">
        <f t="shared" si="52"/>
        <v/>
      </c>
      <c r="G367" s="183"/>
      <c r="H367" s="144" t="str">
        <f t="shared" si="48"/>
        <v/>
      </c>
      <c r="I367" s="182"/>
      <c r="J367" s="182"/>
      <c r="K367" s="182"/>
      <c r="M367" s="139" t="str">
        <f t="shared" si="50"/>
        <v/>
      </c>
      <c r="N367" s="139" t="str">
        <f t="shared" si="5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49"/>
        <v/>
      </c>
      <c r="E368" s="149"/>
      <c r="F368" s="144" t="str">
        <f t="shared" si="52"/>
        <v/>
      </c>
      <c r="G368" s="183"/>
      <c r="H368" s="144" t="str">
        <f t="shared" si="48"/>
        <v/>
      </c>
      <c r="I368" s="182"/>
      <c r="J368" s="182"/>
      <c r="K368" s="182"/>
      <c r="M368" s="139" t="str">
        <f t="shared" si="50"/>
        <v/>
      </c>
      <c r="N368" s="139" t="str">
        <f t="shared" si="5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49"/>
        <v/>
      </c>
      <c r="E369" s="149"/>
      <c r="F369" s="144" t="str">
        <f t="shared" si="52"/>
        <v/>
      </c>
      <c r="G369" s="183"/>
      <c r="H369" s="144" t="str">
        <f t="shared" si="48"/>
        <v/>
      </c>
      <c r="I369" s="182"/>
      <c r="J369" s="182"/>
      <c r="K369" s="182"/>
      <c r="M369" s="139" t="str">
        <f t="shared" si="50"/>
        <v/>
      </c>
      <c r="N369" s="139" t="str">
        <f t="shared" si="5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49"/>
        <v/>
      </c>
      <c r="E370" s="149"/>
      <c r="F370" s="144" t="str">
        <f t="shared" si="52"/>
        <v/>
      </c>
      <c r="G370" s="183"/>
      <c r="H370" s="144" t="str">
        <f t="shared" si="48"/>
        <v/>
      </c>
      <c r="I370" s="182"/>
      <c r="J370" s="182"/>
      <c r="K370" s="182"/>
      <c r="M370" s="139" t="str">
        <f t="shared" si="50"/>
        <v/>
      </c>
      <c r="N370" s="139" t="str">
        <f t="shared" si="5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49"/>
        <v/>
      </c>
      <c r="E371" s="149"/>
      <c r="F371" s="144" t="str">
        <f t="shared" si="52"/>
        <v/>
      </c>
      <c r="G371" s="183"/>
      <c r="H371" s="144" t="str">
        <f t="shared" si="48"/>
        <v/>
      </c>
      <c r="I371" s="182"/>
      <c r="J371" s="182"/>
      <c r="K371" s="182"/>
      <c r="M371" s="139" t="str">
        <f t="shared" si="50"/>
        <v/>
      </c>
      <c r="N371" s="139" t="str">
        <f t="shared" si="5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49"/>
        <v/>
      </c>
      <c r="E372" s="149"/>
      <c r="F372" s="144" t="str">
        <f t="shared" si="52"/>
        <v/>
      </c>
      <c r="G372" s="183"/>
      <c r="H372" s="144" t="str">
        <f t="shared" si="48"/>
        <v/>
      </c>
      <c r="I372" s="182"/>
      <c r="J372" s="182"/>
      <c r="K372" s="182"/>
      <c r="M372" s="139" t="str">
        <f t="shared" si="50"/>
        <v/>
      </c>
      <c r="N372" s="139" t="str">
        <f t="shared" si="5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49"/>
        <v/>
      </c>
      <c r="E373" s="149"/>
      <c r="F373" s="144" t="str">
        <f t="shared" si="52"/>
        <v/>
      </c>
      <c r="G373" s="183"/>
      <c r="H373" s="144" t="str">
        <f t="shared" ref="H373:H436" si="53">IFERROR(VLOOKUP(G373,$X$6:$Y$321,2,FALSE),"")</f>
        <v/>
      </c>
      <c r="I373" s="182"/>
      <c r="J373" s="182"/>
      <c r="K373" s="182"/>
      <c r="M373" s="139" t="str">
        <f t="shared" si="50"/>
        <v/>
      </c>
      <c r="N373" s="139" t="str">
        <f t="shared" si="5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49"/>
        <v/>
      </c>
      <c r="E374" s="149"/>
      <c r="F374" s="144" t="str">
        <f t="shared" si="52"/>
        <v/>
      </c>
      <c r="G374" s="183"/>
      <c r="H374" s="144" t="str">
        <f t="shared" si="53"/>
        <v/>
      </c>
      <c r="I374" s="182"/>
      <c r="J374" s="182"/>
      <c r="K374" s="182"/>
      <c r="M374" s="139" t="str">
        <f t="shared" si="50"/>
        <v/>
      </c>
      <c r="N374" s="139" t="str">
        <f t="shared" si="5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49"/>
        <v/>
      </c>
      <c r="E375" s="149"/>
      <c r="F375" s="144" t="str">
        <f t="shared" si="52"/>
        <v/>
      </c>
      <c r="G375" s="183"/>
      <c r="H375" s="144" t="str">
        <f t="shared" si="53"/>
        <v/>
      </c>
      <c r="I375" s="182"/>
      <c r="J375" s="182"/>
      <c r="K375" s="182"/>
      <c r="M375" s="139" t="str">
        <f t="shared" si="50"/>
        <v/>
      </c>
      <c r="N375" s="139" t="str">
        <f t="shared" si="5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49"/>
        <v/>
      </c>
      <c r="E376" s="149"/>
      <c r="F376" s="144" t="str">
        <f t="shared" si="52"/>
        <v/>
      </c>
      <c r="G376" s="183"/>
      <c r="H376" s="144" t="str">
        <f t="shared" si="53"/>
        <v/>
      </c>
      <c r="I376" s="182"/>
      <c r="J376" s="182"/>
      <c r="K376" s="182"/>
      <c r="M376" s="139" t="str">
        <f t="shared" si="50"/>
        <v/>
      </c>
      <c r="N376" s="139" t="str">
        <f t="shared" si="5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49"/>
        <v/>
      </c>
      <c r="E377" s="149"/>
      <c r="F377" s="144" t="str">
        <f t="shared" si="52"/>
        <v/>
      </c>
      <c r="G377" s="183"/>
      <c r="H377" s="144" t="str">
        <f t="shared" si="53"/>
        <v/>
      </c>
      <c r="I377" s="182"/>
      <c r="J377" s="182"/>
      <c r="K377" s="182"/>
      <c r="M377" s="139" t="str">
        <f t="shared" si="50"/>
        <v/>
      </c>
      <c r="N377" s="139" t="str">
        <f t="shared" si="5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49"/>
        <v/>
      </c>
      <c r="E378" s="149"/>
      <c r="F378" s="144" t="str">
        <f t="shared" si="52"/>
        <v/>
      </c>
      <c r="G378" s="183"/>
      <c r="H378" s="144" t="str">
        <f t="shared" si="53"/>
        <v/>
      </c>
      <c r="I378" s="182"/>
      <c r="J378" s="182"/>
      <c r="K378" s="182"/>
      <c r="M378" s="139" t="str">
        <f t="shared" si="50"/>
        <v/>
      </c>
      <c r="N378" s="139" t="str">
        <f t="shared" si="5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49"/>
        <v/>
      </c>
      <c r="E379" s="149"/>
      <c r="F379" s="144" t="str">
        <f t="shared" si="52"/>
        <v/>
      </c>
      <c r="G379" s="183"/>
      <c r="H379" s="144" t="str">
        <f t="shared" si="53"/>
        <v/>
      </c>
      <c r="I379" s="182"/>
      <c r="J379" s="182"/>
      <c r="K379" s="182"/>
      <c r="M379" s="139" t="str">
        <f t="shared" si="50"/>
        <v/>
      </c>
      <c r="N379" s="139" t="str">
        <f t="shared" si="5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49"/>
        <v/>
      </c>
      <c r="E380" s="149"/>
      <c r="F380" s="144" t="str">
        <f t="shared" si="52"/>
        <v/>
      </c>
      <c r="G380" s="183"/>
      <c r="H380" s="144" t="str">
        <f t="shared" si="53"/>
        <v/>
      </c>
      <c r="I380" s="182"/>
      <c r="J380" s="182"/>
      <c r="K380" s="182"/>
      <c r="M380" s="139" t="str">
        <f t="shared" si="50"/>
        <v/>
      </c>
      <c r="N380" s="139" t="str">
        <f t="shared" si="5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49"/>
        <v/>
      </c>
      <c r="E381" s="149"/>
      <c r="F381" s="144" t="str">
        <f t="shared" si="52"/>
        <v/>
      </c>
      <c r="G381" s="183"/>
      <c r="H381" s="144" t="str">
        <f t="shared" si="53"/>
        <v/>
      </c>
      <c r="I381" s="182"/>
      <c r="J381" s="182"/>
      <c r="K381" s="182"/>
      <c r="M381" s="139" t="str">
        <f t="shared" si="50"/>
        <v/>
      </c>
      <c r="N381" s="139" t="str">
        <f t="shared" si="5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49"/>
        <v/>
      </c>
      <c r="E382" s="149"/>
      <c r="F382" s="144" t="str">
        <f t="shared" si="52"/>
        <v/>
      </c>
      <c r="G382" s="183"/>
      <c r="H382" s="144" t="str">
        <f t="shared" si="53"/>
        <v/>
      </c>
      <c r="I382" s="182"/>
      <c r="J382" s="182"/>
      <c r="K382" s="182"/>
      <c r="M382" s="139" t="str">
        <f t="shared" si="50"/>
        <v/>
      </c>
      <c r="N382" s="139" t="str">
        <f t="shared" si="5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49"/>
        <v/>
      </c>
      <c r="E383" s="149"/>
      <c r="F383" s="144" t="str">
        <f t="shared" si="52"/>
        <v/>
      </c>
      <c r="G383" s="183"/>
      <c r="H383" s="144" t="str">
        <f t="shared" si="53"/>
        <v/>
      </c>
      <c r="I383" s="182"/>
      <c r="J383" s="182"/>
      <c r="K383" s="182"/>
      <c r="M383" s="139" t="str">
        <f t="shared" si="50"/>
        <v/>
      </c>
      <c r="N383" s="139" t="str">
        <f t="shared" si="5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49"/>
        <v/>
      </c>
      <c r="E384" s="149"/>
      <c r="F384" s="144" t="str">
        <f t="shared" si="52"/>
        <v/>
      </c>
      <c r="G384" s="183"/>
      <c r="H384" s="144" t="str">
        <f t="shared" si="53"/>
        <v/>
      </c>
      <c r="I384" s="182"/>
      <c r="J384" s="182"/>
      <c r="K384" s="182"/>
      <c r="M384" s="139" t="str">
        <f t="shared" si="50"/>
        <v/>
      </c>
      <c r="N384" s="139" t="str">
        <f t="shared" si="5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49"/>
        <v/>
      </c>
      <c r="E385" s="149"/>
      <c r="F385" s="144" t="str">
        <f t="shared" si="52"/>
        <v/>
      </c>
      <c r="G385" s="183"/>
      <c r="H385" s="144" t="str">
        <f t="shared" si="53"/>
        <v/>
      </c>
      <c r="I385" s="182"/>
      <c r="J385" s="182"/>
      <c r="K385" s="182"/>
      <c r="M385" s="139" t="str">
        <f t="shared" si="50"/>
        <v/>
      </c>
      <c r="N385" s="139" t="str">
        <f t="shared" si="5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49"/>
        <v/>
      </c>
      <c r="E386" s="149"/>
      <c r="F386" s="144" t="str">
        <f t="shared" si="52"/>
        <v/>
      </c>
      <c r="G386" s="183"/>
      <c r="H386" s="144" t="str">
        <f t="shared" si="53"/>
        <v/>
      </c>
      <c r="I386" s="182"/>
      <c r="J386" s="182"/>
      <c r="K386" s="182"/>
      <c r="M386" s="139" t="str">
        <f t="shared" si="50"/>
        <v/>
      </c>
      <c r="N386" s="139" t="str">
        <f t="shared" si="5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49"/>
        <v/>
      </c>
      <c r="E387" s="149"/>
      <c r="F387" s="144" t="str">
        <f t="shared" si="52"/>
        <v/>
      </c>
      <c r="G387" s="183"/>
      <c r="H387" s="144" t="str">
        <f t="shared" si="53"/>
        <v/>
      </c>
      <c r="I387" s="182"/>
      <c r="J387" s="182"/>
      <c r="K387" s="182"/>
      <c r="M387" s="139" t="str">
        <f t="shared" si="50"/>
        <v/>
      </c>
      <c r="N387" s="139" t="str">
        <f t="shared" si="5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si="49"/>
        <v/>
      </c>
      <c r="E388" s="149"/>
      <c r="F388" s="144" t="str">
        <f t="shared" si="52"/>
        <v/>
      </c>
      <c r="G388" s="183"/>
      <c r="H388" s="144" t="str">
        <f t="shared" si="53"/>
        <v/>
      </c>
      <c r="I388" s="182"/>
      <c r="J388" s="182"/>
      <c r="K388" s="182"/>
      <c r="M388" s="139" t="str">
        <f t="shared" si="50"/>
        <v/>
      </c>
      <c r="N388" s="139" t="str">
        <f t="shared" si="51"/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9"/>
        <v/>
      </c>
      <c r="E389" s="149"/>
      <c r="F389" s="144" t="str">
        <f t="shared" si="52"/>
        <v/>
      </c>
      <c r="G389" s="183"/>
      <c r="H389" s="144" t="str">
        <f t="shared" si="53"/>
        <v/>
      </c>
      <c r="I389" s="182"/>
      <c r="J389" s="182"/>
      <c r="K389" s="182"/>
      <c r="M389" s="139" t="str">
        <f t="shared" si="50"/>
        <v/>
      </c>
      <c r="N389" s="139" t="str">
        <f t="shared" si="51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9"/>
        <v/>
      </c>
      <c r="E390" s="149"/>
      <c r="F390" s="144" t="str">
        <f t="shared" si="52"/>
        <v/>
      </c>
      <c r="G390" s="183"/>
      <c r="H390" s="144" t="str">
        <f t="shared" si="53"/>
        <v/>
      </c>
      <c r="I390" s="182"/>
      <c r="J390" s="182"/>
      <c r="K390" s="182"/>
      <c r="M390" s="139" t="str">
        <f t="shared" si="50"/>
        <v/>
      </c>
      <c r="N390" s="139" t="str">
        <f t="shared" si="51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9"/>
        <v/>
      </c>
      <c r="E391" s="149"/>
      <c r="F391" s="144" t="str">
        <f t="shared" si="52"/>
        <v/>
      </c>
      <c r="G391" s="183"/>
      <c r="H391" s="144" t="str">
        <f t="shared" si="53"/>
        <v/>
      </c>
      <c r="I391" s="182"/>
      <c r="J391" s="182"/>
      <c r="K391" s="182"/>
      <c r="M391" s="139" t="str">
        <f t="shared" si="50"/>
        <v/>
      </c>
      <c r="N391" s="139" t="str">
        <f t="shared" si="51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9"/>
        <v/>
      </c>
      <c r="E392" s="149"/>
      <c r="F392" s="144" t="str">
        <f t="shared" si="52"/>
        <v/>
      </c>
      <c r="G392" s="183"/>
      <c r="H392" s="144" t="str">
        <f t="shared" si="53"/>
        <v/>
      </c>
      <c r="I392" s="182"/>
      <c r="J392" s="182"/>
      <c r="K392" s="182"/>
      <c r="M392" s="139" t="str">
        <f t="shared" si="50"/>
        <v/>
      </c>
      <c r="N392" s="139" t="str">
        <f t="shared" si="51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9"/>
        <v/>
      </c>
      <c r="E393" s="149"/>
      <c r="F393" s="144" t="str">
        <f t="shared" si="52"/>
        <v/>
      </c>
      <c r="G393" s="183"/>
      <c r="H393" s="144" t="str">
        <f t="shared" si="53"/>
        <v/>
      </c>
      <c r="I393" s="182"/>
      <c r="J393" s="182"/>
      <c r="K393" s="182"/>
      <c r="M393" s="139" t="str">
        <f t="shared" si="50"/>
        <v/>
      </c>
      <c r="N393" s="139" t="str">
        <f t="shared" si="51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9"/>
        <v/>
      </c>
      <c r="E394" s="149"/>
      <c r="F394" s="144" t="str">
        <f t="shared" si="52"/>
        <v/>
      </c>
      <c r="G394" s="183"/>
      <c r="H394" s="144" t="str">
        <f t="shared" si="53"/>
        <v/>
      </c>
      <c r="I394" s="182"/>
      <c r="J394" s="182"/>
      <c r="K394" s="182"/>
      <c r="M394" s="139" t="str">
        <f t="shared" si="50"/>
        <v/>
      </c>
      <c r="N394" s="139" t="str">
        <f t="shared" si="51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9"/>
        <v/>
      </c>
      <c r="E395" s="149"/>
      <c r="F395" s="144" t="str">
        <f t="shared" si="52"/>
        <v/>
      </c>
      <c r="G395" s="183"/>
      <c r="H395" s="144" t="str">
        <f t="shared" si="53"/>
        <v/>
      </c>
      <c r="I395" s="182"/>
      <c r="J395" s="182"/>
      <c r="K395" s="182"/>
      <c r="M395" s="139" t="str">
        <f t="shared" si="50"/>
        <v/>
      </c>
      <c r="N395" s="139" t="str">
        <f t="shared" si="51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9"/>
        <v/>
      </c>
      <c r="E396" s="149"/>
      <c r="F396" s="144" t="str">
        <f t="shared" si="52"/>
        <v/>
      </c>
      <c r="G396" s="183"/>
      <c r="H396" s="144" t="str">
        <f t="shared" si="53"/>
        <v/>
      </c>
      <c r="I396" s="182"/>
      <c r="J396" s="182"/>
      <c r="K396" s="182"/>
      <c r="M396" s="139" t="str">
        <f t="shared" si="50"/>
        <v/>
      </c>
      <c r="N396" s="139" t="str">
        <f t="shared" si="51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9"/>
        <v/>
      </c>
      <c r="E397" s="149"/>
      <c r="F397" s="144" t="str">
        <f t="shared" si="52"/>
        <v/>
      </c>
      <c r="G397" s="183"/>
      <c r="H397" s="144" t="str">
        <f t="shared" si="53"/>
        <v/>
      </c>
      <c r="I397" s="182"/>
      <c r="J397" s="182"/>
      <c r="K397" s="182"/>
      <c r="M397" s="139" t="str">
        <f t="shared" si="50"/>
        <v/>
      </c>
      <c r="N397" s="139" t="str">
        <f t="shared" si="51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9"/>
        <v/>
      </c>
      <c r="E398" s="149"/>
      <c r="F398" s="144" t="str">
        <f t="shared" si="52"/>
        <v/>
      </c>
      <c r="G398" s="183"/>
      <c r="H398" s="144" t="str">
        <f t="shared" si="53"/>
        <v/>
      </c>
      <c r="I398" s="182"/>
      <c r="J398" s="182"/>
      <c r="K398" s="182"/>
      <c r="M398" s="139" t="str">
        <f t="shared" si="50"/>
        <v/>
      </c>
      <c r="N398" s="139" t="str">
        <f t="shared" si="51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9"/>
        <v/>
      </c>
      <c r="E399" s="149"/>
      <c r="F399" s="144" t="str">
        <f t="shared" si="52"/>
        <v/>
      </c>
      <c r="G399" s="183"/>
      <c r="H399" s="144" t="str">
        <f t="shared" si="53"/>
        <v/>
      </c>
      <c r="I399" s="182"/>
      <c r="J399" s="182"/>
      <c r="K399" s="182"/>
      <c r="M399" s="139" t="str">
        <f t="shared" si="50"/>
        <v/>
      </c>
      <c r="N399" s="139" t="str">
        <f t="shared" si="51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9"/>
        <v/>
      </c>
      <c r="E400" s="149"/>
      <c r="F400" s="144" t="str">
        <f t="shared" si="52"/>
        <v/>
      </c>
      <c r="G400" s="183"/>
      <c r="H400" s="144" t="str">
        <f t="shared" si="53"/>
        <v/>
      </c>
      <c r="I400" s="182"/>
      <c r="J400" s="182"/>
      <c r="K400" s="182"/>
      <c r="M400" s="139" t="str">
        <f t="shared" si="50"/>
        <v/>
      </c>
      <c r="N400" s="139" t="str">
        <f t="shared" si="51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9"/>
        <v/>
      </c>
      <c r="E401" s="149"/>
      <c r="F401" s="144" t="str">
        <f t="shared" si="52"/>
        <v/>
      </c>
      <c r="G401" s="183"/>
      <c r="H401" s="144" t="str">
        <f t="shared" si="53"/>
        <v/>
      </c>
      <c r="I401" s="182"/>
      <c r="J401" s="182"/>
      <c r="K401" s="182"/>
      <c r="M401" s="139" t="str">
        <f t="shared" si="50"/>
        <v/>
      </c>
      <c r="N401" s="139" t="str">
        <f t="shared" si="51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9"/>
        <v/>
      </c>
      <c r="E402" s="149"/>
      <c r="F402" s="144" t="str">
        <f t="shared" si="52"/>
        <v/>
      </c>
      <c r="G402" s="183"/>
      <c r="H402" s="144" t="str">
        <f t="shared" si="53"/>
        <v/>
      </c>
      <c r="I402" s="182"/>
      <c r="J402" s="182"/>
      <c r="K402" s="182"/>
      <c r="M402" s="139" t="str">
        <f t="shared" si="50"/>
        <v/>
      </c>
      <c r="N402" s="139" t="str">
        <f t="shared" si="51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9"/>
        <v/>
      </c>
      <c r="E403" s="149"/>
      <c r="F403" s="144" t="str">
        <f t="shared" si="52"/>
        <v/>
      </c>
      <c r="G403" s="183"/>
      <c r="H403" s="144" t="str">
        <f t="shared" si="53"/>
        <v/>
      </c>
      <c r="I403" s="182"/>
      <c r="J403" s="182"/>
      <c r="K403" s="182"/>
      <c r="M403" s="139" t="str">
        <f t="shared" si="50"/>
        <v/>
      </c>
      <c r="N403" s="139" t="str">
        <f t="shared" si="51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9"/>
        <v/>
      </c>
      <c r="E404" s="149"/>
      <c r="F404" s="144" t="str">
        <f t="shared" si="52"/>
        <v/>
      </c>
      <c r="G404" s="183"/>
      <c r="H404" s="144" t="str">
        <f t="shared" si="53"/>
        <v/>
      </c>
      <c r="I404" s="182"/>
      <c r="J404" s="182"/>
      <c r="K404" s="182"/>
      <c r="M404" s="139" t="str">
        <f t="shared" si="50"/>
        <v/>
      </c>
      <c r="N404" s="139" t="str">
        <f t="shared" si="51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9"/>
        <v/>
      </c>
      <c r="E405" s="149"/>
      <c r="F405" s="144" t="str">
        <f t="shared" si="52"/>
        <v/>
      </c>
      <c r="G405" s="183"/>
      <c r="H405" s="144" t="str">
        <f t="shared" si="53"/>
        <v/>
      </c>
      <c r="I405" s="182"/>
      <c r="J405" s="182"/>
      <c r="K405" s="182"/>
      <c r="M405" s="139" t="str">
        <f t="shared" si="50"/>
        <v/>
      </c>
      <c r="N405" s="139" t="str">
        <f t="shared" si="51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9"/>
        <v/>
      </c>
      <c r="E406" s="149"/>
      <c r="F406" s="144" t="str">
        <f t="shared" si="52"/>
        <v/>
      </c>
      <c r="G406" s="183"/>
      <c r="H406" s="144" t="str">
        <f t="shared" si="53"/>
        <v/>
      </c>
      <c r="I406" s="182"/>
      <c r="J406" s="182"/>
      <c r="K406" s="182"/>
      <c r="M406" s="139" t="str">
        <f t="shared" si="50"/>
        <v/>
      </c>
      <c r="N406" s="139" t="str">
        <f t="shared" si="51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9"/>
        <v/>
      </c>
      <c r="E407" s="149"/>
      <c r="F407" s="144" t="str">
        <f t="shared" si="52"/>
        <v/>
      </c>
      <c r="G407" s="183"/>
      <c r="H407" s="144" t="str">
        <f t="shared" si="53"/>
        <v/>
      </c>
      <c r="I407" s="182"/>
      <c r="J407" s="182"/>
      <c r="K407" s="182"/>
      <c r="M407" s="139" t="str">
        <f t="shared" si="50"/>
        <v/>
      </c>
      <c r="N407" s="139" t="str">
        <f t="shared" si="51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9"/>
        <v/>
      </c>
      <c r="E408" s="149"/>
      <c r="F408" s="144" t="str">
        <f t="shared" si="52"/>
        <v/>
      </c>
      <c r="G408" s="183"/>
      <c r="H408" s="144" t="str">
        <f t="shared" si="53"/>
        <v/>
      </c>
      <c r="I408" s="182"/>
      <c r="J408" s="182"/>
      <c r="K408" s="182"/>
      <c r="M408" s="139" t="str">
        <f t="shared" si="50"/>
        <v/>
      </c>
      <c r="N408" s="139" t="str">
        <f t="shared" si="51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9"/>
        <v/>
      </c>
      <c r="E409" s="149"/>
      <c r="F409" s="144" t="str">
        <f t="shared" si="52"/>
        <v/>
      </c>
      <c r="G409" s="183"/>
      <c r="H409" s="144" t="str">
        <f t="shared" si="53"/>
        <v/>
      </c>
      <c r="I409" s="182"/>
      <c r="J409" s="182"/>
      <c r="K409" s="182"/>
      <c r="M409" s="139" t="str">
        <f t="shared" si="50"/>
        <v/>
      </c>
      <c r="N409" s="139" t="str">
        <f t="shared" si="51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9"/>
        <v/>
      </c>
      <c r="E410" s="149"/>
      <c r="F410" s="144" t="str">
        <f t="shared" si="52"/>
        <v/>
      </c>
      <c r="G410" s="183"/>
      <c r="H410" s="144" t="str">
        <f t="shared" si="53"/>
        <v/>
      </c>
      <c r="I410" s="182"/>
      <c r="J410" s="182"/>
      <c r="K410" s="182"/>
      <c r="M410" s="139" t="str">
        <f t="shared" si="50"/>
        <v/>
      </c>
      <c r="N410" s="139" t="str">
        <f t="shared" si="51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9"/>
        <v/>
      </c>
      <c r="E411" s="149"/>
      <c r="F411" s="144" t="str">
        <f t="shared" si="52"/>
        <v/>
      </c>
      <c r="G411" s="183"/>
      <c r="H411" s="144" t="str">
        <f t="shared" si="53"/>
        <v/>
      </c>
      <c r="I411" s="182"/>
      <c r="J411" s="182"/>
      <c r="K411" s="182"/>
      <c r="M411" s="139" t="str">
        <f t="shared" si="50"/>
        <v/>
      </c>
      <c r="N411" s="139" t="str">
        <f t="shared" si="51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ref="D412:D475" si="54">IFERROR(VLOOKUP(C412,$O$6:$P$23,2,FALSE),"")</f>
        <v/>
      </c>
      <c r="E412" s="149"/>
      <c r="F412" s="144" t="str">
        <f t="shared" si="52"/>
        <v/>
      </c>
      <c r="G412" s="183"/>
      <c r="H412" s="144" t="str">
        <f t="shared" si="53"/>
        <v/>
      </c>
      <c r="I412" s="182"/>
      <c r="J412" s="182"/>
      <c r="K412" s="182"/>
      <c r="M412" s="139" t="str">
        <f t="shared" ref="M412:M475" si="55">LEFT(E412,3)</f>
        <v/>
      </c>
      <c r="N412" s="139" t="str">
        <f t="shared" ref="N412:N475" si="56">LEFT(E412,2)</f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54"/>
        <v/>
      </c>
      <c r="E413" s="149"/>
      <c r="F413" s="144" t="str">
        <f t="shared" si="52"/>
        <v/>
      </c>
      <c r="G413" s="183"/>
      <c r="H413" s="144" t="str">
        <f t="shared" si="53"/>
        <v/>
      </c>
      <c r="I413" s="182"/>
      <c r="J413" s="182"/>
      <c r="K413" s="182"/>
      <c r="M413" s="139" t="str">
        <f t="shared" si="55"/>
        <v/>
      </c>
      <c r="N413" s="139" t="str">
        <f t="shared" si="5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54"/>
        <v/>
      </c>
      <c r="E414" s="149"/>
      <c r="F414" s="144" t="str">
        <f t="shared" si="52"/>
        <v/>
      </c>
      <c r="G414" s="183"/>
      <c r="H414" s="144" t="str">
        <f t="shared" si="53"/>
        <v/>
      </c>
      <c r="I414" s="182"/>
      <c r="J414" s="182"/>
      <c r="K414" s="182"/>
      <c r="M414" s="139" t="str">
        <f t="shared" si="55"/>
        <v/>
      </c>
      <c r="N414" s="139" t="str">
        <f t="shared" si="5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54"/>
        <v/>
      </c>
      <c r="E415" s="149"/>
      <c r="F415" s="144" t="str">
        <f t="shared" si="52"/>
        <v/>
      </c>
      <c r="G415" s="183"/>
      <c r="H415" s="144" t="str">
        <f t="shared" si="53"/>
        <v/>
      </c>
      <c r="I415" s="182"/>
      <c r="J415" s="182"/>
      <c r="K415" s="182"/>
      <c r="M415" s="139" t="str">
        <f t="shared" si="55"/>
        <v/>
      </c>
      <c r="N415" s="139" t="str">
        <f t="shared" si="5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54"/>
        <v/>
      </c>
      <c r="E416" s="149"/>
      <c r="F416" s="144" t="str">
        <f t="shared" si="52"/>
        <v/>
      </c>
      <c r="G416" s="183"/>
      <c r="H416" s="144" t="str">
        <f t="shared" si="53"/>
        <v/>
      </c>
      <c r="I416" s="182"/>
      <c r="J416" s="182"/>
      <c r="K416" s="182"/>
      <c r="M416" s="139" t="str">
        <f t="shared" si="55"/>
        <v/>
      </c>
      <c r="N416" s="139" t="str">
        <f t="shared" si="5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54"/>
        <v/>
      </c>
      <c r="E417" s="149"/>
      <c r="F417" s="144" t="str">
        <f t="shared" si="52"/>
        <v/>
      </c>
      <c r="G417" s="183"/>
      <c r="H417" s="144" t="str">
        <f t="shared" si="53"/>
        <v/>
      </c>
      <c r="I417" s="182"/>
      <c r="J417" s="182"/>
      <c r="K417" s="182"/>
      <c r="M417" s="139" t="str">
        <f t="shared" si="55"/>
        <v/>
      </c>
      <c r="N417" s="139" t="str">
        <f t="shared" si="5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54"/>
        <v/>
      </c>
      <c r="E418" s="149"/>
      <c r="F418" s="144" t="str">
        <f t="shared" si="52"/>
        <v/>
      </c>
      <c r="G418" s="183"/>
      <c r="H418" s="144" t="str">
        <f t="shared" si="53"/>
        <v/>
      </c>
      <c r="I418" s="182"/>
      <c r="J418" s="182"/>
      <c r="K418" s="182"/>
      <c r="M418" s="139" t="str">
        <f t="shared" si="55"/>
        <v/>
      </c>
      <c r="N418" s="139" t="str">
        <f t="shared" si="5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54"/>
        <v/>
      </c>
      <c r="E419" s="149"/>
      <c r="F419" s="144" t="str">
        <f t="shared" si="52"/>
        <v/>
      </c>
      <c r="G419" s="183"/>
      <c r="H419" s="144" t="str">
        <f t="shared" si="53"/>
        <v/>
      </c>
      <c r="I419" s="182"/>
      <c r="J419" s="182"/>
      <c r="K419" s="182"/>
      <c r="M419" s="139" t="str">
        <f t="shared" si="55"/>
        <v/>
      </c>
      <c r="N419" s="139" t="str">
        <f t="shared" si="5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54"/>
        <v/>
      </c>
      <c r="E420" s="149"/>
      <c r="F420" s="144" t="str">
        <f t="shared" si="52"/>
        <v/>
      </c>
      <c r="G420" s="183"/>
      <c r="H420" s="144" t="str">
        <f t="shared" si="53"/>
        <v/>
      </c>
      <c r="I420" s="182"/>
      <c r="J420" s="182"/>
      <c r="K420" s="182"/>
      <c r="M420" s="139" t="str">
        <f t="shared" si="55"/>
        <v/>
      </c>
      <c r="N420" s="139" t="str">
        <f t="shared" si="5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54"/>
        <v/>
      </c>
      <c r="E421" s="149"/>
      <c r="F421" s="144" t="str">
        <f t="shared" si="52"/>
        <v/>
      </c>
      <c r="G421" s="183"/>
      <c r="H421" s="144" t="str">
        <f t="shared" si="53"/>
        <v/>
      </c>
      <c r="I421" s="182"/>
      <c r="J421" s="182"/>
      <c r="K421" s="182"/>
      <c r="M421" s="139" t="str">
        <f t="shared" si="55"/>
        <v/>
      </c>
      <c r="N421" s="139" t="str">
        <f t="shared" si="5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54"/>
        <v/>
      </c>
      <c r="E422" s="149"/>
      <c r="F422" s="144" t="str">
        <f t="shared" si="52"/>
        <v/>
      </c>
      <c r="G422" s="183"/>
      <c r="H422" s="144" t="str">
        <f t="shared" si="53"/>
        <v/>
      </c>
      <c r="I422" s="182"/>
      <c r="J422" s="182"/>
      <c r="K422" s="182"/>
      <c r="M422" s="139" t="str">
        <f t="shared" si="55"/>
        <v/>
      </c>
      <c r="N422" s="139" t="str">
        <f t="shared" si="5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54"/>
        <v/>
      </c>
      <c r="E423" s="149"/>
      <c r="F423" s="144" t="str">
        <f t="shared" si="52"/>
        <v/>
      </c>
      <c r="G423" s="183"/>
      <c r="H423" s="144" t="str">
        <f t="shared" si="53"/>
        <v/>
      </c>
      <c r="I423" s="182"/>
      <c r="J423" s="182"/>
      <c r="K423" s="182"/>
      <c r="M423" s="139" t="str">
        <f t="shared" si="55"/>
        <v/>
      </c>
      <c r="N423" s="139" t="str">
        <f t="shared" si="5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54"/>
        <v/>
      </c>
      <c r="E424" s="149"/>
      <c r="F424" s="144" t="str">
        <f t="shared" si="52"/>
        <v/>
      </c>
      <c r="G424" s="183"/>
      <c r="H424" s="144" t="str">
        <f t="shared" si="53"/>
        <v/>
      </c>
      <c r="I424" s="182"/>
      <c r="J424" s="182"/>
      <c r="K424" s="182"/>
      <c r="M424" s="139" t="str">
        <f t="shared" si="55"/>
        <v/>
      </c>
      <c r="N424" s="139" t="str">
        <f t="shared" si="5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54"/>
        <v/>
      </c>
      <c r="E425" s="149"/>
      <c r="F425" s="144" t="str">
        <f t="shared" si="52"/>
        <v/>
      </c>
      <c r="G425" s="183"/>
      <c r="H425" s="144" t="str">
        <f t="shared" si="53"/>
        <v/>
      </c>
      <c r="I425" s="182"/>
      <c r="J425" s="182"/>
      <c r="K425" s="182"/>
      <c r="M425" s="139" t="str">
        <f t="shared" si="55"/>
        <v/>
      </c>
      <c r="N425" s="139" t="str">
        <f t="shared" si="5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54"/>
        <v/>
      </c>
      <c r="E426" s="149"/>
      <c r="F426" s="144" t="str">
        <f t="shared" si="52"/>
        <v/>
      </c>
      <c r="G426" s="183"/>
      <c r="H426" s="144" t="str">
        <f t="shared" si="53"/>
        <v/>
      </c>
      <c r="I426" s="182"/>
      <c r="J426" s="182"/>
      <c r="K426" s="182"/>
      <c r="M426" s="139" t="str">
        <f t="shared" si="55"/>
        <v/>
      </c>
      <c r="N426" s="139" t="str">
        <f t="shared" si="5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54"/>
        <v/>
      </c>
      <c r="E427" s="149"/>
      <c r="F427" s="144" t="str">
        <f t="shared" si="52"/>
        <v/>
      </c>
      <c r="G427" s="183"/>
      <c r="H427" s="144" t="str">
        <f t="shared" si="53"/>
        <v/>
      </c>
      <c r="I427" s="182"/>
      <c r="J427" s="182"/>
      <c r="K427" s="182"/>
      <c r="M427" s="139" t="str">
        <f t="shared" si="55"/>
        <v/>
      </c>
      <c r="N427" s="139" t="str">
        <f t="shared" si="5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54"/>
        <v/>
      </c>
      <c r="E428" s="149"/>
      <c r="F428" s="144" t="str">
        <f t="shared" si="52"/>
        <v/>
      </c>
      <c r="G428" s="183"/>
      <c r="H428" s="144" t="str">
        <f t="shared" si="53"/>
        <v/>
      </c>
      <c r="I428" s="182"/>
      <c r="J428" s="182"/>
      <c r="K428" s="182"/>
      <c r="M428" s="139" t="str">
        <f t="shared" si="55"/>
        <v/>
      </c>
      <c r="N428" s="139" t="str">
        <f t="shared" si="5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54"/>
        <v/>
      </c>
      <c r="E429" s="149"/>
      <c r="F429" s="144" t="str">
        <f t="shared" ref="F429:F492" si="57">IFERROR(VLOOKUP(E429,$R$5:$T$144,2,FALSE),"")</f>
        <v/>
      </c>
      <c r="G429" s="183"/>
      <c r="H429" s="144" t="str">
        <f t="shared" si="53"/>
        <v/>
      </c>
      <c r="I429" s="182"/>
      <c r="J429" s="182"/>
      <c r="K429" s="182"/>
      <c r="M429" s="139" t="str">
        <f t="shared" si="55"/>
        <v/>
      </c>
      <c r="N429" s="139" t="str">
        <f t="shared" si="5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54"/>
        <v/>
      </c>
      <c r="E430" s="149"/>
      <c r="F430" s="144" t="str">
        <f t="shared" si="57"/>
        <v/>
      </c>
      <c r="G430" s="183"/>
      <c r="H430" s="144" t="str">
        <f t="shared" si="53"/>
        <v/>
      </c>
      <c r="I430" s="182"/>
      <c r="J430" s="182"/>
      <c r="K430" s="182"/>
      <c r="M430" s="139" t="str">
        <f t="shared" si="55"/>
        <v/>
      </c>
      <c r="N430" s="139" t="str">
        <f t="shared" si="5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54"/>
        <v/>
      </c>
      <c r="E431" s="149"/>
      <c r="F431" s="144" t="str">
        <f t="shared" si="57"/>
        <v/>
      </c>
      <c r="G431" s="183"/>
      <c r="H431" s="144" t="str">
        <f t="shared" si="53"/>
        <v/>
      </c>
      <c r="I431" s="182"/>
      <c r="J431" s="182"/>
      <c r="K431" s="182"/>
      <c r="M431" s="139" t="str">
        <f t="shared" si="55"/>
        <v/>
      </c>
      <c r="N431" s="139" t="str">
        <f t="shared" si="5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54"/>
        <v/>
      </c>
      <c r="E432" s="149"/>
      <c r="F432" s="144" t="str">
        <f t="shared" si="57"/>
        <v/>
      </c>
      <c r="G432" s="183"/>
      <c r="H432" s="144" t="str">
        <f t="shared" si="53"/>
        <v/>
      </c>
      <c r="I432" s="182"/>
      <c r="J432" s="182"/>
      <c r="K432" s="182"/>
      <c r="M432" s="139" t="str">
        <f t="shared" si="55"/>
        <v/>
      </c>
      <c r="N432" s="139" t="str">
        <f t="shared" si="5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54"/>
        <v/>
      </c>
      <c r="E433" s="149"/>
      <c r="F433" s="144" t="str">
        <f t="shared" si="57"/>
        <v/>
      </c>
      <c r="G433" s="183"/>
      <c r="H433" s="144" t="str">
        <f t="shared" si="53"/>
        <v/>
      </c>
      <c r="I433" s="182"/>
      <c r="J433" s="182"/>
      <c r="K433" s="182"/>
      <c r="M433" s="139" t="str">
        <f t="shared" si="55"/>
        <v/>
      </c>
      <c r="N433" s="139" t="str">
        <f t="shared" si="5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54"/>
        <v/>
      </c>
      <c r="E434" s="149"/>
      <c r="F434" s="144" t="str">
        <f t="shared" si="57"/>
        <v/>
      </c>
      <c r="G434" s="183"/>
      <c r="H434" s="144" t="str">
        <f t="shared" si="53"/>
        <v/>
      </c>
      <c r="I434" s="182"/>
      <c r="J434" s="182"/>
      <c r="K434" s="182"/>
      <c r="M434" s="139" t="str">
        <f t="shared" si="55"/>
        <v/>
      </c>
      <c r="N434" s="139" t="str">
        <f t="shared" si="5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54"/>
        <v/>
      </c>
      <c r="E435" s="149"/>
      <c r="F435" s="144" t="str">
        <f t="shared" si="57"/>
        <v/>
      </c>
      <c r="G435" s="183"/>
      <c r="H435" s="144" t="str">
        <f t="shared" si="53"/>
        <v/>
      </c>
      <c r="I435" s="182"/>
      <c r="J435" s="182"/>
      <c r="K435" s="182"/>
      <c r="M435" s="139" t="str">
        <f t="shared" si="55"/>
        <v/>
      </c>
      <c r="N435" s="139" t="str">
        <f t="shared" si="5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54"/>
        <v/>
      </c>
      <c r="E436" s="149"/>
      <c r="F436" s="144" t="str">
        <f t="shared" si="57"/>
        <v/>
      </c>
      <c r="G436" s="183"/>
      <c r="H436" s="144" t="str">
        <f t="shared" si="53"/>
        <v/>
      </c>
      <c r="I436" s="182"/>
      <c r="J436" s="182"/>
      <c r="K436" s="182"/>
      <c r="M436" s="139" t="str">
        <f t="shared" si="55"/>
        <v/>
      </c>
      <c r="N436" s="139" t="str">
        <f t="shared" si="5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54"/>
        <v/>
      </c>
      <c r="E437" s="149"/>
      <c r="F437" s="144" t="str">
        <f t="shared" si="57"/>
        <v/>
      </c>
      <c r="G437" s="183"/>
      <c r="H437" s="144" t="str">
        <f t="shared" ref="H437:H500" si="58">IFERROR(VLOOKUP(G437,$X$6:$Y$321,2,FALSE),"")</f>
        <v/>
      </c>
      <c r="I437" s="182"/>
      <c r="J437" s="182"/>
      <c r="K437" s="182"/>
      <c r="M437" s="139" t="str">
        <f t="shared" si="55"/>
        <v/>
      </c>
      <c r="N437" s="139" t="str">
        <f t="shared" si="5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54"/>
        <v/>
      </c>
      <c r="E438" s="149"/>
      <c r="F438" s="144" t="str">
        <f t="shared" si="57"/>
        <v/>
      </c>
      <c r="G438" s="183"/>
      <c r="H438" s="144" t="str">
        <f t="shared" si="58"/>
        <v/>
      </c>
      <c r="I438" s="182"/>
      <c r="J438" s="182"/>
      <c r="K438" s="182"/>
      <c r="M438" s="139" t="str">
        <f t="shared" si="55"/>
        <v/>
      </c>
      <c r="N438" s="139" t="str">
        <f t="shared" si="5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54"/>
        <v/>
      </c>
      <c r="E439" s="149"/>
      <c r="F439" s="144" t="str">
        <f t="shared" si="57"/>
        <v/>
      </c>
      <c r="G439" s="183"/>
      <c r="H439" s="144" t="str">
        <f t="shared" si="58"/>
        <v/>
      </c>
      <c r="I439" s="182"/>
      <c r="J439" s="182"/>
      <c r="K439" s="182"/>
      <c r="M439" s="139" t="str">
        <f t="shared" si="55"/>
        <v/>
      </c>
      <c r="N439" s="139" t="str">
        <f t="shared" si="5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54"/>
        <v/>
      </c>
      <c r="E440" s="149"/>
      <c r="F440" s="144" t="str">
        <f t="shared" si="57"/>
        <v/>
      </c>
      <c r="G440" s="183"/>
      <c r="H440" s="144" t="str">
        <f t="shared" si="58"/>
        <v/>
      </c>
      <c r="I440" s="182"/>
      <c r="J440" s="182"/>
      <c r="K440" s="182"/>
      <c r="M440" s="139" t="str">
        <f t="shared" si="55"/>
        <v/>
      </c>
      <c r="N440" s="139" t="str">
        <f t="shared" si="5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54"/>
        <v/>
      </c>
      <c r="E441" s="149"/>
      <c r="F441" s="144" t="str">
        <f t="shared" si="57"/>
        <v/>
      </c>
      <c r="G441" s="183"/>
      <c r="H441" s="144" t="str">
        <f t="shared" si="58"/>
        <v/>
      </c>
      <c r="I441" s="182"/>
      <c r="J441" s="182"/>
      <c r="K441" s="182"/>
      <c r="M441" s="139" t="str">
        <f t="shared" si="55"/>
        <v/>
      </c>
      <c r="N441" s="139" t="str">
        <f t="shared" si="5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54"/>
        <v/>
      </c>
      <c r="E442" s="149"/>
      <c r="F442" s="144" t="str">
        <f t="shared" si="57"/>
        <v/>
      </c>
      <c r="G442" s="183"/>
      <c r="H442" s="144" t="str">
        <f t="shared" si="58"/>
        <v/>
      </c>
      <c r="I442" s="182"/>
      <c r="J442" s="182"/>
      <c r="K442" s="182"/>
      <c r="M442" s="139" t="str">
        <f t="shared" si="55"/>
        <v/>
      </c>
      <c r="N442" s="139" t="str">
        <f t="shared" si="5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54"/>
        <v/>
      </c>
      <c r="E443" s="149"/>
      <c r="F443" s="144" t="str">
        <f t="shared" si="57"/>
        <v/>
      </c>
      <c r="G443" s="183"/>
      <c r="H443" s="144" t="str">
        <f t="shared" si="58"/>
        <v/>
      </c>
      <c r="I443" s="182"/>
      <c r="J443" s="182"/>
      <c r="K443" s="182"/>
      <c r="M443" s="139" t="str">
        <f t="shared" si="55"/>
        <v/>
      </c>
      <c r="N443" s="139" t="str">
        <f t="shared" si="5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54"/>
        <v/>
      </c>
      <c r="E444" s="149"/>
      <c r="F444" s="144" t="str">
        <f t="shared" si="57"/>
        <v/>
      </c>
      <c r="G444" s="183"/>
      <c r="H444" s="144" t="str">
        <f t="shared" si="58"/>
        <v/>
      </c>
      <c r="I444" s="182"/>
      <c r="J444" s="182"/>
      <c r="K444" s="182"/>
      <c r="M444" s="139" t="str">
        <f t="shared" si="55"/>
        <v/>
      </c>
      <c r="N444" s="139" t="str">
        <f t="shared" si="5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54"/>
        <v/>
      </c>
      <c r="E445" s="149"/>
      <c r="F445" s="144" t="str">
        <f t="shared" si="57"/>
        <v/>
      </c>
      <c r="G445" s="183"/>
      <c r="H445" s="144" t="str">
        <f t="shared" si="58"/>
        <v/>
      </c>
      <c r="I445" s="182"/>
      <c r="J445" s="182"/>
      <c r="K445" s="182"/>
      <c r="M445" s="139" t="str">
        <f t="shared" si="55"/>
        <v/>
      </c>
      <c r="N445" s="139" t="str">
        <f t="shared" si="5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54"/>
        <v/>
      </c>
      <c r="E446" s="149"/>
      <c r="F446" s="144" t="str">
        <f t="shared" si="57"/>
        <v/>
      </c>
      <c r="G446" s="183"/>
      <c r="H446" s="144" t="str">
        <f t="shared" si="58"/>
        <v/>
      </c>
      <c r="I446" s="182"/>
      <c r="J446" s="182"/>
      <c r="K446" s="182"/>
      <c r="M446" s="139" t="str">
        <f t="shared" si="55"/>
        <v/>
      </c>
      <c r="N446" s="139" t="str">
        <f t="shared" si="5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54"/>
        <v/>
      </c>
      <c r="E447" s="149"/>
      <c r="F447" s="144" t="str">
        <f t="shared" si="57"/>
        <v/>
      </c>
      <c r="G447" s="183"/>
      <c r="H447" s="144" t="str">
        <f t="shared" si="58"/>
        <v/>
      </c>
      <c r="I447" s="182"/>
      <c r="J447" s="182"/>
      <c r="K447" s="182"/>
      <c r="M447" s="139" t="str">
        <f t="shared" si="55"/>
        <v/>
      </c>
      <c r="N447" s="139" t="str">
        <f t="shared" si="5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54"/>
        <v/>
      </c>
      <c r="E448" s="149"/>
      <c r="F448" s="144" t="str">
        <f t="shared" si="57"/>
        <v/>
      </c>
      <c r="G448" s="183"/>
      <c r="H448" s="144" t="str">
        <f t="shared" si="58"/>
        <v/>
      </c>
      <c r="I448" s="182"/>
      <c r="J448" s="182"/>
      <c r="K448" s="182"/>
      <c r="M448" s="139" t="str">
        <f t="shared" si="55"/>
        <v/>
      </c>
      <c r="N448" s="139" t="str">
        <f t="shared" si="5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54"/>
        <v/>
      </c>
      <c r="E449" s="149"/>
      <c r="F449" s="144" t="str">
        <f t="shared" si="57"/>
        <v/>
      </c>
      <c r="G449" s="183"/>
      <c r="H449" s="144" t="str">
        <f t="shared" si="58"/>
        <v/>
      </c>
      <c r="I449" s="182"/>
      <c r="J449" s="182"/>
      <c r="K449" s="182"/>
      <c r="M449" s="139" t="str">
        <f t="shared" si="55"/>
        <v/>
      </c>
      <c r="N449" s="139" t="str">
        <f t="shared" si="5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54"/>
        <v/>
      </c>
      <c r="E450" s="149"/>
      <c r="F450" s="144" t="str">
        <f t="shared" si="57"/>
        <v/>
      </c>
      <c r="G450" s="183"/>
      <c r="H450" s="144" t="str">
        <f t="shared" si="58"/>
        <v/>
      </c>
      <c r="I450" s="182"/>
      <c r="J450" s="182"/>
      <c r="K450" s="182"/>
      <c r="M450" s="139" t="str">
        <f t="shared" si="55"/>
        <v/>
      </c>
      <c r="N450" s="139" t="str">
        <f t="shared" si="5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54"/>
        <v/>
      </c>
      <c r="E451" s="149"/>
      <c r="F451" s="144" t="str">
        <f t="shared" si="57"/>
        <v/>
      </c>
      <c r="G451" s="183"/>
      <c r="H451" s="144" t="str">
        <f t="shared" si="58"/>
        <v/>
      </c>
      <c r="I451" s="182"/>
      <c r="J451" s="182"/>
      <c r="K451" s="182"/>
      <c r="M451" s="139" t="str">
        <f t="shared" si="55"/>
        <v/>
      </c>
      <c r="N451" s="139" t="str">
        <f t="shared" si="5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si="54"/>
        <v/>
      </c>
      <c r="E452" s="149"/>
      <c r="F452" s="144" t="str">
        <f t="shared" si="57"/>
        <v/>
      </c>
      <c r="G452" s="183"/>
      <c r="H452" s="144" t="str">
        <f t="shared" si="58"/>
        <v/>
      </c>
      <c r="I452" s="182"/>
      <c r="J452" s="182"/>
      <c r="K452" s="182"/>
      <c r="M452" s="139" t="str">
        <f t="shared" si="55"/>
        <v/>
      </c>
      <c r="N452" s="139" t="str">
        <f t="shared" si="56"/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54"/>
        <v/>
      </c>
      <c r="E453" s="149"/>
      <c r="F453" s="144" t="str">
        <f t="shared" si="57"/>
        <v/>
      </c>
      <c r="G453" s="183"/>
      <c r="H453" s="144" t="str">
        <f t="shared" si="58"/>
        <v/>
      </c>
      <c r="I453" s="182"/>
      <c r="J453" s="182"/>
      <c r="K453" s="182"/>
      <c r="M453" s="139" t="str">
        <f t="shared" si="55"/>
        <v/>
      </c>
      <c r="N453" s="139" t="str">
        <f t="shared" si="56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54"/>
        <v/>
      </c>
      <c r="E454" s="149"/>
      <c r="F454" s="144" t="str">
        <f t="shared" si="57"/>
        <v/>
      </c>
      <c r="G454" s="183"/>
      <c r="H454" s="144" t="str">
        <f t="shared" si="58"/>
        <v/>
      </c>
      <c r="I454" s="182"/>
      <c r="J454" s="182"/>
      <c r="K454" s="182"/>
      <c r="M454" s="139" t="str">
        <f t="shared" si="55"/>
        <v/>
      </c>
      <c r="N454" s="139" t="str">
        <f t="shared" si="56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54"/>
        <v/>
      </c>
      <c r="E455" s="149"/>
      <c r="F455" s="144" t="str">
        <f t="shared" si="57"/>
        <v/>
      </c>
      <c r="G455" s="183"/>
      <c r="H455" s="144" t="str">
        <f t="shared" si="58"/>
        <v/>
      </c>
      <c r="I455" s="182"/>
      <c r="J455" s="182"/>
      <c r="K455" s="182"/>
      <c r="M455" s="139" t="str">
        <f t="shared" si="55"/>
        <v/>
      </c>
      <c r="N455" s="139" t="str">
        <f t="shared" si="56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54"/>
        <v/>
      </c>
      <c r="E456" s="149"/>
      <c r="F456" s="144" t="str">
        <f t="shared" si="57"/>
        <v/>
      </c>
      <c r="G456" s="183"/>
      <c r="H456" s="144" t="str">
        <f t="shared" si="58"/>
        <v/>
      </c>
      <c r="I456" s="182"/>
      <c r="J456" s="182"/>
      <c r="K456" s="182"/>
      <c r="M456" s="139" t="str">
        <f t="shared" si="55"/>
        <v/>
      </c>
      <c r="N456" s="139" t="str">
        <f t="shared" si="56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54"/>
        <v/>
      </c>
      <c r="E457" s="149"/>
      <c r="F457" s="144" t="str">
        <f t="shared" si="57"/>
        <v/>
      </c>
      <c r="G457" s="183"/>
      <c r="H457" s="144" t="str">
        <f t="shared" si="58"/>
        <v/>
      </c>
      <c r="I457" s="182"/>
      <c r="J457" s="182"/>
      <c r="K457" s="182"/>
      <c r="M457" s="139" t="str">
        <f t="shared" si="55"/>
        <v/>
      </c>
      <c r="N457" s="139" t="str">
        <f t="shared" si="56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54"/>
        <v/>
      </c>
      <c r="E458" s="149"/>
      <c r="F458" s="144" t="str">
        <f t="shared" si="57"/>
        <v/>
      </c>
      <c r="G458" s="183"/>
      <c r="H458" s="144" t="str">
        <f t="shared" si="58"/>
        <v/>
      </c>
      <c r="I458" s="182"/>
      <c r="J458" s="182"/>
      <c r="K458" s="182"/>
      <c r="M458" s="139" t="str">
        <f t="shared" si="55"/>
        <v/>
      </c>
      <c r="N458" s="139" t="str">
        <f t="shared" si="56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54"/>
        <v/>
      </c>
      <c r="E459" s="149"/>
      <c r="F459" s="144" t="str">
        <f t="shared" si="57"/>
        <v/>
      </c>
      <c r="G459" s="183"/>
      <c r="H459" s="144" t="str">
        <f t="shared" si="58"/>
        <v/>
      </c>
      <c r="I459" s="182"/>
      <c r="J459" s="182"/>
      <c r="K459" s="182"/>
      <c r="M459" s="139" t="str">
        <f t="shared" si="55"/>
        <v/>
      </c>
      <c r="N459" s="139" t="str">
        <f t="shared" si="56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54"/>
        <v/>
      </c>
      <c r="E460" s="149"/>
      <c r="F460" s="144" t="str">
        <f t="shared" si="57"/>
        <v/>
      </c>
      <c r="G460" s="183"/>
      <c r="H460" s="144" t="str">
        <f t="shared" si="58"/>
        <v/>
      </c>
      <c r="I460" s="182"/>
      <c r="J460" s="182"/>
      <c r="K460" s="182"/>
      <c r="M460" s="139" t="str">
        <f t="shared" si="55"/>
        <v/>
      </c>
      <c r="N460" s="139" t="str">
        <f t="shared" si="56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54"/>
        <v/>
      </c>
      <c r="E461" s="149"/>
      <c r="F461" s="144" t="str">
        <f t="shared" si="57"/>
        <v/>
      </c>
      <c r="G461" s="183"/>
      <c r="H461" s="144" t="str">
        <f t="shared" si="58"/>
        <v/>
      </c>
      <c r="I461" s="182"/>
      <c r="J461" s="182"/>
      <c r="K461" s="182"/>
      <c r="M461" s="139" t="str">
        <f t="shared" si="55"/>
        <v/>
      </c>
      <c r="N461" s="139" t="str">
        <f t="shared" si="56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54"/>
        <v/>
      </c>
      <c r="E462" s="149"/>
      <c r="F462" s="144" t="str">
        <f t="shared" si="57"/>
        <v/>
      </c>
      <c r="G462" s="183"/>
      <c r="H462" s="144" t="str">
        <f t="shared" si="58"/>
        <v/>
      </c>
      <c r="I462" s="182"/>
      <c r="J462" s="182"/>
      <c r="K462" s="182"/>
      <c r="M462" s="139" t="str">
        <f t="shared" si="55"/>
        <v/>
      </c>
      <c r="N462" s="139" t="str">
        <f t="shared" si="56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54"/>
        <v/>
      </c>
      <c r="E463" s="149"/>
      <c r="F463" s="144" t="str">
        <f t="shared" si="57"/>
        <v/>
      </c>
      <c r="G463" s="183"/>
      <c r="H463" s="144" t="str">
        <f t="shared" si="58"/>
        <v/>
      </c>
      <c r="I463" s="182"/>
      <c r="J463" s="182"/>
      <c r="K463" s="182"/>
      <c r="M463" s="139" t="str">
        <f t="shared" si="55"/>
        <v/>
      </c>
      <c r="N463" s="139" t="str">
        <f t="shared" si="56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54"/>
        <v/>
      </c>
      <c r="E464" s="149"/>
      <c r="F464" s="144" t="str">
        <f t="shared" si="57"/>
        <v/>
      </c>
      <c r="G464" s="183"/>
      <c r="H464" s="144" t="str">
        <f t="shared" si="58"/>
        <v/>
      </c>
      <c r="I464" s="182"/>
      <c r="J464" s="182"/>
      <c r="K464" s="182"/>
      <c r="M464" s="139" t="str">
        <f t="shared" si="55"/>
        <v/>
      </c>
      <c r="N464" s="139" t="str">
        <f t="shared" si="56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54"/>
        <v/>
      </c>
      <c r="E465" s="149"/>
      <c r="F465" s="144" t="str">
        <f t="shared" si="57"/>
        <v/>
      </c>
      <c r="G465" s="183"/>
      <c r="H465" s="144" t="str">
        <f t="shared" si="58"/>
        <v/>
      </c>
      <c r="I465" s="182"/>
      <c r="J465" s="182"/>
      <c r="K465" s="182"/>
      <c r="M465" s="139" t="str">
        <f t="shared" si="55"/>
        <v/>
      </c>
      <c r="N465" s="139" t="str">
        <f t="shared" si="56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54"/>
        <v/>
      </c>
      <c r="E466" s="149"/>
      <c r="F466" s="144" t="str">
        <f t="shared" si="57"/>
        <v/>
      </c>
      <c r="G466" s="183"/>
      <c r="H466" s="144" t="str">
        <f t="shared" si="58"/>
        <v/>
      </c>
      <c r="I466" s="182"/>
      <c r="J466" s="182"/>
      <c r="K466" s="182"/>
      <c r="M466" s="139" t="str">
        <f t="shared" si="55"/>
        <v/>
      </c>
      <c r="N466" s="139" t="str">
        <f t="shared" si="56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54"/>
        <v/>
      </c>
      <c r="E467" s="149"/>
      <c r="F467" s="144" t="str">
        <f t="shared" si="57"/>
        <v/>
      </c>
      <c r="G467" s="183"/>
      <c r="H467" s="144" t="str">
        <f t="shared" si="58"/>
        <v/>
      </c>
      <c r="I467" s="182"/>
      <c r="J467" s="182"/>
      <c r="K467" s="182"/>
      <c r="M467" s="139" t="str">
        <f t="shared" si="55"/>
        <v/>
      </c>
      <c r="N467" s="139" t="str">
        <f t="shared" si="56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54"/>
        <v/>
      </c>
      <c r="E468" s="149"/>
      <c r="F468" s="144" t="str">
        <f t="shared" si="57"/>
        <v/>
      </c>
      <c r="G468" s="183"/>
      <c r="H468" s="144" t="str">
        <f t="shared" si="58"/>
        <v/>
      </c>
      <c r="I468" s="182"/>
      <c r="J468" s="182"/>
      <c r="K468" s="182"/>
      <c r="M468" s="139" t="str">
        <f t="shared" si="55"/>
        <v/>
      </c>
      <c r="N468" s="139" t="str">
        <f t="shared" si="56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54"/>
        <v/>
      </c>
      <c r="E469" s="149"/>
      <c r="F469" s="144" t="str">
        <f t="shared" si="57"/>
        <v/>
      </c>
      <c r="G469" s="183"/>
      <c r="H469" s="144" t="str">
        <f t="shared" si="58"/>
        <v/>
      </c>
      <c r="I469" s="182"/>
      <c r="J469" s="182"/>
      <c r="K469" s="182"/>
      <c r="M469" s="139" t="str">
        <f t="shared" si="55"/>
        <v/>
      </c>
      <c r="N469" s="139" t="str">
        <f t="shared" si="56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54"/>
        <v/>
      </c>
      <c r="E470" s="149"/>
      <c r="F470" s="144" t="str">
        <f t="shared" si="57"/>
        <v/>
      </c>
      <c r="G470" s="183"/>
      <c r="H470" s="144" t="str">
        <f t="shared" si="58"/>
        <v/>
      </c>
      <c r="I470" s="182"/>
      <c r="J470" s="182"/>
      <c r="K470" s="182"/>
      <c r="M470" s="139" t="str">
        <f t="shared" si="55"/>
        <v/>
      </c>
      <c r="N470" s="139" t="str">
        <f t="shared" si="56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54"/>
        <v/>
      </c>
      <c r="E471" s="149"/>
      <c r="F471" s="144" t="str">
        <f t="shared" si="57"/>
        <v/>
      </c>
      <c r="G471" s="183"/>
      <c r="H471" s="144" t="str">
        <f t="shared" si="58"/>
        <v/>
      </c>
      <c r="I471" s="182"/>
      <c r="J471" s="182"/>
      <c r="K471" s="182"/>
      <c r="M471" s="139" t="str">
        <f t="shared" si="55"/>
        <v/>
      </c>
      <c r="N471" s="139" t="str">
        <f t="shared" si="56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54"/>
        <v/>
      </c>
      <c r="E472" s="149"/>
      <c r="F472" s="144" t="str">
        <f t="shared" si="57"/>
        <v/>
      </c>
      <c r="G472" s="183"/>
      <c r="H472" s="144" t="str">
        <f t="shared" si="58"/>
        <v/>
      </c>
      <c r="I472" s="182"/>
      <c r="J472" s="182"/>
      <c r="K472" s="182"/>
      <c r="M472" s="139" t="str">
        <f t="shared" si="55"/>
        <v/>
      </c>
      <c r="N472" s="139" t="str">
        <f t="shared" si="56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54"/>
        <v/>
      </c>
      <c r="E473" s="149"/>
      <c r="F473" s="144" t="str">
        <f t="shared" si="57"/>
        <v/>
      </c>
      <c r="G473" s="183"/>
      <c r="H473" s="144" t="str">
        <f t="shared" si="58"/>
        <v/>
      </c>
      <c r="I473" s="182"/>
      <c r="J473" s="182"/>
      <c r="K473" s="182"/>
      <c r="M473" s="139" t="str">
        <f t="shared" si="55"/>
        <v/>
      </c>
      <c r="N473" s="139" t="str">
        <f t="shared" si="56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54"/>
        <v/>
      </c>
      <c r="E474" s="149"/>
      <c r="F474" s="144" t="str">
        <f t="shared" si="57"/>
        <v/>
      </c>
      <c r="G474" s="183"/>
      <c r="H474" s="144" t="str">
        <f t="shared" si="58"/>
        <v/>
      </c>
      <c r="I474" s="182"/>
      <c r="J474" s="182"/>
      <c r="K474" s="182"/>
      <c r="M474" s="139" t="str">
        <f t="shared" si="55"/>
        <v/>
      </c>
      <c r="N474" s="139" t="str">
        <f t="shared" si="56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54"/>
        <v/>
      </c>
      <c r="E475" s="149"/>
      <c r="F475" s="144" t="str">
        <f t="shared" si="57"/>
        <v/>
      </c>
      <c r="G475" s="183"/>
      <c r="H475" s="144" t="str">
        <f t="shared" si="58"/>
        <v/>
      </c>
      <c r="I475" s="182"/>
      <c r="J475" s="182"/>
      <c r="K475" s="182"/>
      <c r="M475" s="139" t="str">
        <f t="shared" si="55"/>
        <v/>
      </c>
      <c r="N475" s="139" t="str">
        <f t="shared" si="56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ref="D476:D525" si="59">IFERROR(VLOOKUP(C476,$O$6:$P$23,2,FALSE),"")</f>
        <v/>
      </c>
      <c r="E476" s="149"/>
      <c r="F476" s="144" t="str">
        <f t="shared" si="57"/>
        <v/>
      </c>
      <c r="G476" s="183"/>
      <c r="H476" s="144" t="str">
        <f t="shared" si="58"/>
        <v/>
      </c>
      <c r="I476" s="182"/>
      <c r="J476" s="182"/>
      <c r="K476" s="182"/>
      <c r="M476" s="139" t="str">
        <f t="shared" ref="M476:M525" si="60">LEFT(E476,3)</f>
        <v/>
      </c>
      <c r="N476" s="139" t="str">
        <f t="shared" ref="N476:N525" si="61">LEFT(E476,2)</f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59"/>
        <v/>
      </c>
      <c r="E477" s="149"/>
      <c r="F477" s="144" t="str">
        <f t="shared" si="57"/>
        <v/>
      </c>
      <c r="G477" s="183"/>
      <c r="H477" s="144" t="str">
        <f t="shared" si="58"/>
        <v/>
      </c>
      <c r="I477" s="182"/>
      <c r="J477" s="182"/>
      <c r="K477" s="182"/>
      <c r="M477" s="139" t="str">
        <f t="shared" si="60"/>
        <v/>
      </c>
      <c r="N477" s="139" t="str">
        <f t="shared" si="6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59"/>
        <v/>
      </c>
      <c r="E478" s="149"/>
      <c r="F478" s="144" t="str">
        <f t="shared" si="57"/>
        <v/>
      </c>
      <c r="G478" s="183"/>
      <c r="H478" s="144" t="str">
        <f t="shared" si="58"/>
        <v/>
      </c>
      <c r="I478" s="182"/>
      <c r="J478" s="182"/>
      <c r="K478" s="182"/>
      <c r="M478" s="139" t="str">
        <f t="shared" si="60"/>
        <v/>
      </c>
      <c r="N478" s="139" t="str">
        <f t="shared" si="6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59"/>
        <v/>
      </c>
      <c r="E479" s="149"/>
      <c r="F479" s="144" t="str">
        <f t="shared" si="57"/>
        <v/>
      </c>
      <c r="G479" s="183"/>
      <c r="H479" s="144" t="str">
        <f t="shared" si="58"/>
        <v/>
      </c>
      <c r="I479" s="182"/>
      <c r="J479" s="182"/>
      <c r="K479" s="182"/>
      <c r="M479" s="139" t="str">
        <f t="shared" si="60"/>
        <v/>
      </c>
      <c r="N479" s="139" t="str">
        <f t="shared" si="6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59"/>
        <v/>
      </c>
      <c r="E480" s="149"/>
      <c r="F480" s="144" t="str">
        <f t="shared" si="57"/>
        <v/>
      </c>
      <c r="G480" s="183"/>
      <c r="H480" s="144" t="str">
        <f t="shared" si="58"/>
        <v/>
      </c>
      <c r="I480" s="182"/>
      <c r="J480" s="182"/>
      <c r="K480" s="182"/>
      <c r="M480" s="139" t="str">
        <f t="shared" si="60"/>
        <v/>
      </c>
      <c r="N480" s="139" t="str">
        <f t="shared" si="6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59"/>
        <v/>
      </c>
      <c r="E481" s="149"/>
      <c r="F481" s="144" t="str">
        <f t="shared" si="57"/>
        <v/>
      </c>
      <c r="G481" s="183"/>
      <c r="H481" s="144" t="str">
        <f t="shared" si="58"/>
        <v/>
      </c>
      <c r="I481" s="182"/>
      <c r="J481" s="182"/>
      <c r="K481" s="182"/>
      <c r="M481" s="139" t="str">
        <f t="shared" si="60"/>
        <v/>
      </c>
      <c r="N481" s="139" t="str">
        <f t="shared" si="6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59"/>
        <v/>
      </c>
      <c r="E482" s="149"/>
      <c r="F482" s="144" t="str">
        <f t="shared" si="57"/>
        <v/>
      </c>
      <c r="G482" s="183"/>
      <c r="H482" s="144" t="str">
        <f t="shared" si="58"/>
        <v/>
      </c>
      <c r="I482" s="182"/>
      <c r="J482" s="182"/>
      <c r="K482" s="182"/>
      <c r="M482" s="139" t="str">
        <f t="shared" si="60"/>
        <v/>
      </c>
      <c r="N482" s="139" t="str">
        <f t="shared" si="6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59"/>
        <v/>
      </c>
      <c r="E483" s="149"/>
      <c r="F483" s="144" t="str">
        <f t="shared" si="57"/>
        <v/>
      </c>
      <c r="G483" s="183"/>
      <c r="H483" s="144" t="str">
        <f t="shared" si="58"/>
        <v/>
      </c>
      <c r="I483" s="182"/>
      <c r="J483" s="182"/>
      <c r="K483" s="182"/>
      <c r="M483" s="139" t="str">
        <f t="shared" si="60"/>
        <v/>
      </c>
      <c r="N483" s="139" t="str">
        <f t="shared" si="6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59"/>
        <v/>
      </c>
      <c r="E484" s="149"/>
      <c r="F484" s="144" t="str">
        <f t="shared" si="57"/>
        <v/>
      </c>
      <c r="G484" s="183"/>
      <c r="H484" s="144" t="str">
        <f t="shared" si="58"/>
        <v/>
      </c>
      <c r="I484" s="182"/>
      <c r="J484" s="182"/>
      <c r="K484" s="182"/>
      <c r="M484" s="139" t="str">
        <f t="shared" si="60"/>
        <v/>
      </c>
      <c r="N484" s="139" t="str">
        <f t="shared" si="6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59"/>
        <v/>
      </c>
      <c r="E485" s="149"/>
      <c r="F485" s="144" t="str">
        <f t="shared" si="57"/>
        <v/>
      </c>
      <c r="G485" s="183"/>
      <c r="H485" s="144" t="str">
        <f t="shared" si="58"/>
        <v/>
      </c>
      <c r="I485" s="182"/>
      <c r="J485" s="182"/>
      <c r="K485" s="182"/>
      <c r="M485" s="139" t="str">
        <f t="shared" si="60"/>
        <v/>
      </c>
      <c r="N485" s="139" t="str">
        <f t="shared" si="6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59"/>
        <v/>
      </c>
      <c r="E486" s="149"/>
      <c r="F486" s="144" t="str">
        <f t="shared" si="57"/>
        <v/>
      </c>
      <c r="G486" s="183"/>
      <c r="H486" s="144" t="str">
        <f t="shared" si="58"/>
        <v/>
      </c>
      <c r="I486" s="182"/>
      <c r="J486" s="182"/>
      <c r="K486" s="182"/>
      <c r="M486" s="139" t="str">
        <f t="shared" si="60"/>
        <v/>
      </c>
      <c r="N486" s="139" t="str">
        <f t="shared" si="6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59"/>
        <v/>
      </c>
      <c r="E487" s="149"/>
      <c r="F487" s="144" t="str">
        <f t="shared" si="57"/>
        <v/>
      </c>
      <c r="G487" s="183"/>
      <c r="H487" s="144" t="str">
        <f t="shared" si="58"/>
        <v/>
      </c>
      <c r="I487" s="182"/>
      <c r="J487" s="182"/>
      <c r="K487" s="182"/>
      <c r="M487" s="139" t="str">
        <f t="shared" si="60"/>
        <v/>
      </c>
      <c r="N487" s="139" t="str">
        <f t="shared" si="6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59"/>
        <v/>
      </c>
      <c r="E488" s="149"/>
      <c r="F488" s="144" t="str">
        <f t="shared" si="57"/>
        <v/>
      </c>
      <c r="G488" s="183"/>
      <c r="H488" s="144" t="str">
        <f t="shared" si="58"/>
        <v/>
      </c>
      <c r="I488" s="182"/>
      <c r="J488" s="182"/>
      <c r="K488" s="182"/>
      <c r="M488" s="139" t="str">
        <f t="shared" si="60"/>
        <v/>
      </c>
      <c r="N488" s="139" t="str">
        <f t="shared" si="6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59"/>
        <v/>
      </c>
      <c r="E489" s="149"/>
      <c r="F489" s="144" t="str">
        <f t="shared" si="57"/>
        <v/>
      </c>
      <c r="G489" s="183"/>
      <c r="H489" s="144" t="str">
        <f t="shared" si="58"/>
        <v/>
      </c>
      <c r="I489" s="182"/>
      <c r="J489" s="182"/>
      <c r="K489" s="182"/>
      <c r="M489" s="139" t="str">
        <f t="shared" si="60"/>
        <v/>
      </c>
      <c r="N489" s="139" t="str">
        <f t="shared" si="6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59"/>
        <v/>
      </c>
      <c r="E490" s="149"/>
      <c r="F490" s="144" t="str">
        <f t="shared" si="57"/>
        <v/>
      </c>
      <c r="G490" s="183"/>
      <c r="H490" s="144" t="str">
        <f t="shared" si="58"/>
        <v/>
      </c>
      <c r="I490" s="182"/>
      <c r="J490" s="182"/>
      <c r="K490" s="182"/>
      <c r="M490" s="139" t="str">
        <f t="shared" si="60"/>
        <v/>
      </c>
      <c r="N490" s="139" t="str">
        <f t="shared" si="6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59"/>
        <v/>
      </c>
      <c r="E491" s="149"/>
      <c r="F491" s="144" t="str">
        <f t="shared" si="57"/>
        <v/>
      </c>
      <c r="G491" s="183"/>
      <c r="H491" s="144" t="str">
        <f t="shared" si="58"/>
        <v/>
      </c>
      <c r="I491" s="182"/>
      <c r="J491" s="182"/>
      <c r="K491" s="182"/>
      <c r="M491" s="139" t="str">
        <f t="shared" si="60"/>
        <v/>
      </c>
      <c r="N491" s="139" t="str">
        <f t="shared" si="6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59"/>
        <v/>
      </c>
      <c r="E492" s="149"/>
      <c r="F492" s="144" t="str">
        <f t="shared" si="57"/>
        <v/>
      </c>
      <c r="G492" s="183"/>
      <c r="H492" s="144" t="str">
        <f t="shared" si="58"/>
        <v/>
      </c>
      <c r="I492" s="182"/>
      <c r="J492" s="182"/>
      <c r="K492" s="182"/>
      <c r="M492" s="139" t="str">
        <f t="shared" si="60"/>
        <v/>
      </c>
      <c r="N492" s="139" t="str">
        <f t="shared" si="6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59"/>
        <v/>
      </c>
      <c r="E493" s="149"/>
      <c r="F493" s="144" t="str">
        <f t="shared" ref="F493:F525" si="62">IFERROR(VLOOKUP(E493,$R$5:$T$144,2,FALSE),"")</f>
        <v/>
      </c>
      <c r="G493" s="183"/>
      <c r="H493" s="144" t="str">
        <f t="shared" si="58"/>
        <v/>
      </c>
      <c r="I493" s="182"/>
      <c r="J493" s="182"/>
      <c r="K493" s="182"/>
      <c r="M493" s="139" t="str">
        <f t="shared" si="60"/>
        <v/>
      </c>
      <c r="N493" s="139" t="str">
        <f t="shared" si="6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59"/>
        <v/>
      </c>
      <c r="E494" s="149"/>
      <c r="F494" s="144" t="str">
        <f t="shared" si="62"/>
        <v/>
      </c>
      <c r="G494" s="183"/>
      <c r="H494" s="144" t="str">
        <f t="shared" si="58"/>
        <v/>
      </c>
      <c r="I494" s="182"/>
      <c r="J494" s="182"/>
      <c r="K494" s="182"/>
      <c r="M494" s="139" t="str">
        <f t="shared" si="60"/>
        <v/>
      </c>
      <c r="N494" s="139" t="str">
        <f t="shared" si="6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59"/>
        <v/>
      </c>
      <c r="E495" s="149"/>
      <c r="F495" s="144" t="str">
        <f t="shared" si="62"/>
        <v/>
      </c>
      <c r="G495" s="183"/>
      <c r="H495" s="144" t="str">
        <f t="shared" si="58"/>
        <v/>
      </c>
      <c r="I495" s="182"/>
      <c r="J495" s="182"/>
      <c r="K495" s="182"/>
      <c r="M495" s="139" t="str">
        <f t="shared" si="60"/>
        <v/>
      </c>
      <c r="N495" s="139" t="str">
        <f t="shared" si="6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59"/>
        <v/>
      </c>
      <c r="E496" s="149"/>
      <c r="F496" s="144" t="str">
        <f t="shared" si="62"/>
        <v/>
      </c>
      <c r="G496" s="183"/>
      <c r="H496" s="144" t="str">
        <f t="shared" si="58"/>
        <v/>
      </c>
      <c r="I496" s="182"/>
      <c r="J496" s="182"/>
      <c r="K496" s="182"/>
      <c r="M496" s="139" t="str">
        <f t="shared" si="60"/>
        <v/>
      </c>
      <c r="N496" s="139" t="str">
        <f t="shared" si="6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59"/>
        <v/>
      </c>
      <c r="E497" s="149"/>
      <c r="F497" s="144" t="str">
        <f t="shared" si="62"/>
        <v/>
      </c>
      <c r="G497" s="183"/>
      <c r="H497" s="144" t="str">
        <f t="shared" si="58"/>
        <v/>
      </c>
      <c r="I497" s="182"/>
      <c r="J497" s="182"/>
      <c r="K497" s="182"/>
      <c r="M497" s="139" t="str">
        <f t="shared" si="60"/>
        <v/>
      </c>
      <c r="N497" s="139" t="str">
        <f t="shared" si="6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59"/>
        <v/>
      </c>
      <c r="E498" s="149"/>
      <c r="F498" s="144" t="str">
        <f t="shared" si="62"/>
        <v/>
      </c>
      <c r="G498" s="183"/>
      <c r="H498" s="144" t="str">
        <f t="shared" si="58"/>
        <v/>
      </c>
      <c r="I498" s="182"/>
      <c r="J498" s="182"/>
      <c r="K498" s="182"/>
      <c r="M498" s="139" t="str">
        <f t="shared" si="60"/>
        <v/>
      </c>
      <c r="N498" s="139" t="str">
        <f t="shared" si="6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59"/>
        <v/>
      </c>
      <c r="E499" s="149"/>
      <c r="F499" s="144" t="str">
        <f t="shared" si="62"/>
        <v/>
      </c>
      <c r="G499" s="183"/>
      <c r="H499" s="144" t="str">
        <f t="shared" si="58"/>
        <v/>
      </c>
      <c r="I499" s="182"/>
      <c r="J499" s="182"/>
      <c r="K499" s="182"/>
      <c r="M499" s="139" t="str">
        <f t="shared" si="60"/>
        <v/>
      </c>
      <c r="N499" s="139" t="str">
        <f t="shared" si="6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59"/>
        <v/>
      </c>
      <c r="E500" s="149"/>
      <c r="F500" s="144" t="str">
        <f t="shared" si="62"/>
        <v/>
      </c>
      <c r="G500" s="183"/>
      <c r="H500" s="144" t="str">
        <f t="shared" si="58"/>
        <v/>
      </c>
      <c r="I500" s="182"/>
      <c r="J500" s="182"/>
      <c r="K500" s="182"/>
      <c r="M500" s="139" t="str">
        <f t="shared" si="60"/>
        <v/>
      </c>
      <c r="N500" s="139" t="str">
        <f t="shared" si="6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59"/>
        <v/>
      </c>
      <c r="E501" s="149"/>
      <c r="F501" s="144" t="str">
        <f t="shared" si="62"/>
        <v/>
      </c>
      <c r="G501" s="183"/>
      <c r="H501" s="144" t="str">
        <f t="shared" ref="H501:H525" si="63">IFERROR(VLOOKUP(G501,$X$6:$Y$321,2,FALSE),"")</f>
        <v/>
      </c>
      <c r="I501" s="182"/>
      <c r="J501" s="182"/>
      <c r="K501" s="182"/>
      <c r="M501" s="139" t="str">
        <f t="shared" si="60"/>
        <v/>
      </c>
      <c r="N501" s="139" t="str">
        <f t="shared" si="61"/>
        <v/>
      </c>
    </row>
    <row r="502" spans="1:14">
      <c r="A502" s="143" t="str">
        <f>IF(C502="","",VLOOKUP('Opći dio'!$C$3,'Opći dio'!$L$6:$U$137,10,FALSE))</f>
        <v/>
      </c>
      <c r="B502" s="143" t="str">
        <f>IF(C502="","",VLOOKUP('Opći dio'!$C$3,'Opći dio'!$L$6:$U$137,9,FALSE))</f>
        <v/>
      </c>
      <c r="C502" s="149"/>
      <c r="D502" s="144" t="str">
        <f t="shared" si="59"/>
        <v/>
      </c>
      <c r="E502" s="149"/>
      <c r="F502" s="144" t="str">
        <f t="shared" si="62"/>
        <v/>
      </c>
      <c r="G502" s="183"/>
      <c r="H502" s="144" t="str">
        <f t="shared" si="63"/>
        <v/>
      </c>
      <c r="I502" s="182"/>
      <c r="J502" s="182"/>
      <c r="K502" s="182"/>
      <c r="M502" s="139" t="str">
        <f t="shared" si="60"/>
        <v/>
      </c>
      <c r="N502" s="139" t="str">
        <f t="shared" si="61"/>
        <v/>
      </c>
    </row>
    <row r="503" spans="1:14">
      <c r="A503" s="143" t="str">
        <f>IF(C503="","",VLOOKUP('Opći dio'!$C$3,'Opći dio'!$L$6:$U$137,10,FALSE))</f>
        <v/>
      </c>
      <c r="B503" s="143" t="str">
        <f>IF(C503="","",VLOOKUP('Opći dio'!$C$3,'Opći dio'!$L$6:$U$137,9,FALSE))</f>
        <v/>
      </c>
      <c r="C503" s="149"/>
      <c r="D503" s="144" t="str">
        <f t="shared" si="59"/>
        <v/>
      </c>
      <c r="E503" s="149"/>
      <c r="F503" s="144" t="str">
        <f t="shared" si="62"/>
        <v/>
      </c>
      <c r="G503" s="183"/>
      <c r="H503" s="144" t="str">
        <f t="shared" si="63"/>
        <v/>
      </c>
      <c r="I503" s="182"/>
      <c r="J503" s="182"/>
      <c r="K503" s="182"/>
      <c r="M503" s="139" t="str">
        <f t="shared" si="60"/>
        <v/>
      </c>
      <c r="N503" s="139" t="str">
        <f t="shared" si="61"/>
        <v/>
      </c>
    </row>
    <row r="504" spans="1:14">
      <c r="A504" s="143" t="str">
        <f>IF(C504="","",VLOOKUP('Opći dio'!$C$3,'Opći dio'!$L$6:$U$137,10,FALSE))</f>
        <v/>
      </c>
      <c r="B504" s="143" t="str">
        <f>IF(C504="","",VLOOKUP('Opći dio'!$C$3,'Opći dio'!$L$6:$U$137,9,FALSE))</f>
        <v/>
      </c>
      <c r="C504" s="149"/>
      <c r="D504" s="144" t="str">
        <f t="shared" si="59"/>
        <v/>
      </c>
      <c r="E504" s="149"/>
      <c r="F504" s="144" t="str">
        <f t="shared" si="62"/>
        <v/>
      </c>
      <c r="G504" s="183"/>
      <c r="H504" s="144" t="str">
        <f t="shared" si="63"/>
        <v/>
      </c>
      <c r="I504" s="182"/>
      <c r="J504" s="182"/>
      <c r="K504" s="182"/>
      <c r="M504" s="139" t="str">
        <f t="shared" si="60"/>
        <v/>
      </c>
      <c r="N504" s="139" t="str">
        <f t="shared" si="61"/>
        <v/>
      </c>
    </row>
    <row r="505" spans="1:14">
      <c r="A505" s="143" t="str">
        <f>IF(C505="","",VLOOKUP('Opći dio'!$C$3,'Opći dio'!$L$6:$U$137,10,FALSE))</f>
        <v/>
      </c>
      <c r="B505" s="143" t="str">
        <f>IF(C505="","",VLOOKUP('Opći dio'!$C$3,'Opći dio'!$L$6:$U$137,9,FALSE))</f>
        <v/>
      </c>
      <c r="C505" s="149"/>
      <c r="D505" s="144" t="str">
        <f t="shared" si="59"/>
        <v/>
      </c>
      <c r="E505" s="149"/>
      <c r="F505" s="144" t="str">
        <f t="shared" si="62"/>
        <v/>
      </c>
      <c r="G505" s="183"/>
      <c r="H505" s="144" t="str">
        <f t="shared" si="63"/>
        <v/>
      </c>
      <c r="I505" s="182"/>
      <c r="J505" s="182"/>
      <c r="K505" s="182"/>
      <c r="M505" s="139" t="str">
        <f t="shared" si="60"/>
        <v/>
      </c>
      <c r="N505" s="139" t="str">
        <f t="shared" si="61"/>
        <v/>
      </c>
    </row>
    <row r="506" spans="1:14">
      <c r="A506" s="143" t="str">
        <f>IF(C506="","",VLOOKUP('Opći dio'!$C$3,'Opći dio'!$L$6:$U$137,10,FALSE))</f>
        <v/>
      </c>
      <c r="B506" s="143" t="str">
        <f>IF(C506="","",VLOOKUP('Opći dio'!$C$3,'Opći dio'!$L$6:$U$137,9,FALSE))</f>
        <v/>
      </c>
      <c r="C506" s="149"/>
      <c r="D506" s="144" t="str">
        <f t="shared" si="59"/>
        <v/>
      </c>
      <c r="E506" s="149"/>
      <c r="F506" s="144" t="str">
        <f t="shared" si="62"/>
        <v/>
      </c>
      <c r="G506" s="183"/>
      <c r="H506" s="144" t="str">
        <f t="shared" si="63"/>
        <v/>
      </c>
      <c r="I506" s="182"/>
      <c r="J506" s="182"/>
      <c r="K506" s="182"/>
      <c r="M506" s="139" t="str">
        <f t="shared" si="60"/>
        <v/>
      </c>
      <c r="N506" s="139" t="str">
        <f t="shared" si="61"/>
        <v/>
      </c>
    </row>
    <row r="507" spans="1:14">
      <c r="A507" s="143" t="str">
        <f>IF(C507="","",VLOOKUP('Opći dio'!$C$3,'Opći dio'!$L$6:$U$137,10,FALSE))</f>
        <v/>
      </c>
      <c r="B507" s="143" t="str">
        <f>IF(C507="","",VLOOKUP('Opći dio'!$C$3,'Opći dio'!$L$6:$U$137,9,FALSE))</f>
        <v/>
      </c>
      <c r="C507" s="149"/>
      <c r="D507" s="144" t="str">
        <f t="shared" si="59"/>
        <v/>
      </c>
      <c r="E507" s="149"/>
      <c r="F507" s="144" t="str">
        <f t="shared" si="62"/>
        <v/>
      </c>
      <c r="G507" s="183"/>
      <c r="H507" s="144" t="str">
        <f t="shared" si="63"/>
        <v/>
      </c>
      <c r="I507" s="182"/>
      <c r="J507" s="182"/>
      <c r="K507" s="182"/>
      <c r="M507" s="139" t="str">
        <f t="shared" si="60"/>
        <v/>
      </c>
      <c r="N507" s="139" t="str">
        <f t="shared" si="61"/>
        <v/>
      </c>
    </row>
    <row r="508" spans="1:14">
      <c r="A508" s="143" t="str">
        <f>IF(C508="","",VLOOKUP('Opći dio'!$C$3,'Opći dio'!$L$6:$U$137,10,FALSE))</f>
        <v/>
      </c>
      <c r="B508" s="143" t="str">
        <f>IF(C508="","",VLOOKUP('Opći dio'!$C$3,'Opći dio'!$L$6:$U$137,9,FALSE))</f>
        <v/>
      </c>
      <c r="C508" s="149"/>
      <c r="D508" s="144" t="str">
        <f t="shared" si="59"/>
        <v/>
      </c>
      <c r="E508" s="149"/>
      <c r="F508" s="144" t="str">
        <f t="shared" si="62"/>
        <v/>
      </c>
      <c r="G508" s="183"/>
      <c r="H508" s="144" t="str">
        <f t="shared" si="63"/>
        <v/>
      </c>
      <c r="I508" s="182"/>
      <c r="J508" s="182"/>
      <c r="K508" s="182"/>
      <c r="M508" s="139" t="str">
        <f t="shared" si="60"/>
        <v/>
      </c>
      <c r="N508" s="139" t="str">
        <f t="shared" si="61"/>
        <v/>
      </c>
    </row>
    <row r="509" spans="1:14">
      <c r="A509" s="143" t="str">
        <f>IF(C509="","",VLOOKUP('Opći dio'!$C$3,'Opći dio'!$L$6:$U$137,10,FALSE))</f>
        <v/>
      </c>
      <c r="B509" s="143" t="str">
        <f>IF(C509="","",VLOOKUP('Opći dio'!$C$3,'Opći dio'!$L$6:$U$137,9,FALSE))</f>
        <v/>
      </c>
      <c r="C509" s="149"/>
      <c r="D509" s="144" t="str">
        <f t="shared" si="59"/>
        <v/>
      </c>
      <c r="E509" s="149"/>
      <c r="F509" s="144" t="str">
        <f t="shared" si="62"/>
        <v/>
      </c>
      <c r="G509" s="183"/>
      <c r="H509" s="144" t="str">
        <f t="shared" si="63"/>
        <v/>
      </c>
      <c r="I509" s="182"/>
      <c r="J509" s="182"/>
      <c r="K509" s="182"/>
      <c r="M509" s="139" t="str">
        <f t="shared" si="60"/>
        <v/>
      </c>
      <c r="N509" s="139" t="str">
        <f t="shared" si="61"/>
        <v/>
      </c>
    </row>
    <row r="510" spans="1:14">
      <c r="A510" s="143" t="str">
        <f>IF(C510="","",VLOOKUP('Opći dio'!$C$3,'Opći dio'!$L$6:$U$137,10,FALSE))</f>
        <v/>
      </c>
      <c r="B510" s="143" t="str">
        <f>IF(C510="","",VLOOKUP('Opći dio'!$C$3,'Opći dio'!$L$6:$U$137,9,FALSE))</f>
        <v/>
      </c>
      <c r="C510" s="149"/>
      <c r="D510" s="144" t="str">
        <f t="shared" si="59"/>
        <v/>
      </c>
      <c r="E510" s="149"/>
      <c r="F510" s="144" t="str">
        <f t="shared" si="62"/>
        <v/>
      </c>
      <c r="G510" s="183"/>
      <c r="H510" s="144" t="str">
        <f t="shared" si="63"/>
        <v/>
      </c>
      <c r="I510" s="182"/>
      <c r="J510" s="182"/>
      <c r="K510" s="182"/>
      <c r="M510" s="139" t="str">
        <f t="shared" si="60"/>
        <v/>
      </c>
      <c r="N510" s="139" t="str">
        <f t="shared" si="61"/>
        <v/>
      </c>
    </row>
    <row r="511" spans="1:14">
      <c r="A511" s="143" t="str">
        <f>IF(C511="","",VLOOKUP('Opći dio'!$C$3,'Opći dio'!$L$6:$U$137,10,FALSE))</f>
        <v/>
      </c>
      <c r="B511" s="143" t="str">
        <f>IF(C511="","",VLOOKUP('Opći dio'!$C$3,'Opći dio'!$L$6:$U$137,9,FALSE))</f>
        <v/>
      </c>
      <c r="C511" s="149"/>
      <c r="D511" s="144" t="str">
        <f t="shared" si="59"/>
        <v/>
      </c>
      <c r="E511" s="149"/>
      <c r="F511" s="144" t="str">
        <f t="shared" si="62"/>
        <v/>
      </c>
      <c r="G511" s="183"/>
      <c r="H511" s="144" t="str">
        <f t="shared" si="63"/>
        <v/>
      </c>
      <c r="I511" s="182"/>
      <c r="J511" s="182"/>
      <c r="K511" s="182"/>
      <c r="M511" s="139" t="str">
        <f t="shared" si="60"/>
        <v/>
      </c>
      <c r="N511" s="139" t="str">
        <f t="shared" si="61"/>
        <v/>
      </c>
    </row>
    <row r="512" spans="1:14">
      <c r="A512" s="143" t="str">
        <f>IF(C512="","",VLOOKUP('Opći dio'!$C$3,'Opći dio'!$L$6:$U$137,10,FALSE))</f>
        <v/>
      </c>
      <c r="B512" s="143" t="str">
        <f>IF(C512="","",VLOOKUP('Opći dio'!$C$3,'Opći dio'!$L$6:$U$137,9,FALSE))</f>
        <v/>
      </c>
      <c r="C512" s="149"/>
      <c r="D512" s="144" t="str">
        <f t="shared" si="59"/>
        <v/>
      </c>
      <c r="E512" s="149"/>
      <c r="F512" s="144" t="str">
        <f t="shared" si="62"/>
        <v/>
      </c>
      <c r="G512" s="183"/>
      <c r="H512" s="144" t="str">
        <f t="shared" si="63"/>
        <v/>
      </c>
      <c r="I512" s="182"/>
      <c r="J512" s="182"/>
      <c r="K512" s="182"/>
      <c r="M512" s="139" t="str">
        <f t="shared" si="60"/>
        <v/>
      </c>
      <c r="N512" s="139" t="str">
        <f t="shared" si="61"/>
        <v/>
      </c>
    </row>
    <row r="513" spans="1:14">
      <c r="A513" s="143" t="str">
        <f>IF(C513="","",VLOOKUP('Opći dio'!$C$3,'Opći dio'!$L$6:$U$137,10,FALSE))</f>
        <v/>
      </c>
      <c r="B513" s="143" t="str">
        <f>IF(C513="","",VLOOKUP('Opći dio'!$C$3,'Opći dio'!$L$6:$U$137,9,FALSE))</f>
        <v/>
      </c>
      <c r="C513" s="149"/>
      <c r="D513" s="144" t="str">
        <f t="shared" si="59"/>
        <v/>
      </c>
      <c r="E513" s="149"/>
      <c r="F513" s="144" t="str">
        <f t="shared" si="62"/>
        <v/>
      </c>
      <c r="G513" s="183"/>
      <c r="H513" s="144" t="str">
        <f t="shared" si="63"/>
        <v/>
      </c>
      <c r="I513" s="182"/>
      <c r="J513" s="182"/>
      <c r="K513" s="182"/>
      <c r="M513" s="139" t="str">
        <f t="shared" si="60"/>
        <v/>
      </c>
      <c r="N513" s="139" t="str">
        <f t="shared" si="61"/>
        <v/>
      </c>
    </row>
    <row r="514" spans="1:14">
      <c r="A514" s="143" t="str">
        <f>IF(C514="","",VLOOKUP('Opći dio'!$C$3,'Opći dio'!$L$6:$U$137,10,FALSE))</f>
        <v/>
      </c>
      <c r="B514" s="143" t="str">
        <f>IF(C514="","",VLOOKUP('Opći dio'!$C$3,'Opći dio'!$L$6:$U$137,9,FALSE))</f>
        <v/>
      </c>
      <c r="C514" s="149"/>
      <c r="D514" s="144" t="str">
        <f t="shared" si="59"/>
        <v/>
      </c>
      <c r="E514" s="149"/>
      <c r="F514" s="144" t="str">
        <f t="shared" si="62"/>
        <v/>
      </c>
      <c r="G514" s="183"/>
      <c r="H514" s="144" t="str">
        <f t="shared" si="63"/>
        <v/>
      </c>
      <c r="I514" s="182"/>
      <c r="J514" s="182"/>
      <c r="K514" s="182"/>
      <c r="M514" s="139" t="str">
        <f t="shared" si="60"/>
        <v/>
      </c>
      <c r="N514" s="139" t="str">
        <f t="shared" si="61"/>
        <v/>
      </c>
    </row>
    <row r="515" spans="1:14">
      <c r="A515" s="143" t="str">
        <f>IF(C515="","",VLOOKUP('Opći dio'!$C$3,'Opći dio'!$L$6:$U$137,10,FALSE))</f>
        <v/>
      </c>
      <c r="B515" s="143" t="str">
        <f>IF(C515="","",VLOOKUP('Opći dio'!$C$3,'Opći dio'!$L$6:$U$137,9,FALSE))</f>
        <v/>
      </c>
      <c r="C515" s="149"/>
      <c r="D515" s="144" t="str">
        <f t="shared" si="59"/>
        <v/>
      </c>
      <c r="E515" s="149"/>
      <c r="F515" s="144" t="str">
        <f t="shared" si="62"/>
        <v/>
      </c>
      <c r="G515" s="183"/>
      <c r="H515" s="144" t="str">
        <f t="shared" si="63"/>
        <v/>
      </c>
      <c r="I515" s="182"/>
      <c r="J515" s="182"/>
      <c r="K515" s="182"/>
      <c r="M515" s="139" t="str">
        <f t="shared" si="60"/>
        <v/>
      </c>
      <c r="N515" s="139" t="str">
        <f t="shared" si="61"/>
        <v/>
      </c>
    </row>
    <row r="516" spans="1:14">
      <c r="A516" s="143" t="str">
        <f>IF(C516="","",VLOOKUP('Opći dio'!$C$3,'Opći dio'!$L$6:$U$137,10,FALSE))</f>
        <v/>
      </c>
      <c r="B516" s="143" t="str">
        <f>IF(C516="","",VLOOKUP('Opći dio'!$C$3,'Opći dio'!$L$6:$U$137,9,FALSE))</f>
        <v/>
      </c>
      <c r="C516" s="149"/>
      <c r="D516" s="144" t="str">
        <f t="shared" si="59"/>
        <v/>
      </c>
      <c r="E516" s="149"/>
      <c r="F516" s="144" t="str">
        <f t="shared" si="62"/>
        <v/>
      </c>
      <c r="G516" s="183"/>
      <c r="H516" s="144" t="str">
        <f t="shared" si="63"/>
        <v/>
      </c>
      <c r="I516" s="182"/>
      <c r="J516" s="182"/>
      <c r="K516" s="182"/>
      <c r="M516" s="139" t="str">
        <f t="shared" si="60"/>
        <v/>
      </c>
      <c r="N516" s="139" t="str">
        <f t="shared" si="61"/>
        <v/>
      </c>
    </row>
    <row r="517" spans="1:14">
      <c r="A517" s="143" t="str">
        <f>IF(C517="","",VLOOKUP('Opći dio'!$C$3,'Opći dio'!$L$6:$U$137,10,FALSE))</f>
        <v/>
      </c>
      <c r="B517" s="143" t="str">
        <f>IF(C517="","",VLOOKUP('Opći dio'!$C$3,'Opći dio'!$L$6:$U$137,9,FALSE))</f>
        <v/>
      </c>
      <c r="C517" s="149"/>
      <c r="D517" s="144" t="str">
        <f t="shared" si="59"/>
        <v/>
      </c>
      <c r="E517" s="149"/>
      <c r="F517" s="144" t="str">
        <f t="shared" si="62"/>
        <v/>
      </c>
      <c r="G517" s="183"/>
      <c r="H517" s="144" t="str">
        <f t="shared" si="63"/>
        <v/>
      </c>
      <c r="I517" s="182"/>
      <c r="J517" s="182"/>
      <c r="K517" s="182"/>
      <c r="M517" s="139" t="str">
        <f t="shared" si="60"/>
        <v/>
      </c>
      <c r="N517" s="139" t="str">
        <f t="shared" si="61"/>
        <v/>
      </c>
    </row>
    <row r="518" spans="1:14">
      <c r="A518" s="143" t="str">
        <f>IF(C518="","",VLOOKUP('Opći dio'!$C$3,'Opći dio'!$L$6:$U$137,10,FALSE))</f>
        <v/>
      </c>
      <c r="B518" s="143" t="str">
        <f>IF(C518="","",VLOOKUP('Opći dio'!$C$3,'Opći dio'!$L$6:$U$137,9,FALSE))</f>
        <v/>
      </c>
      <c r="C518" s="149"/>
      <c r="D518" s="144" t="str">
        <f t="shared" si="59"/>
        <v/>
      </c>
      <c r="E518" s="149"/>
      <c r="F518" s="144" t="str">
        <f t="shared" si="62"/>
        <v/>
      </c>
      <c r="G518" s="183"/>
      <c r="H518" s="144" t="str">
        <f t="shared" si="63"/>
        <v/>
      </c>
      <c r="I518" s="182"/>
      <c r="J518" s="182"/>
      <c r="K518" s="182"/>
      <c r="M518" s="139" t="str">
        <f t="shared" si="60"/>
        <v/>
      </c>
      <c r="N518" s="139" t="str">
        <f t="shared" si="61"/>
        <v/>
      </c>
    </row>
    <row r="519" spans="1:14">
      <c r="A519" s="143" t="str">
        <f>IF(C519="","",VLOOKUP('Opći dio'!$C$3,'Opći dio'!$L$6:$U$137,10,FALSE))</f>
        <v/>
      </c>
      <c r="B519" s="143" t="str">
        <f>IF(C519="","",VLOOKUP('Opći dio'!$C$3,'Opći dio'!$L$6:$U$137,9,FALSE))</f>
        <v/>
      </c>
      <c r="C519" s="149"/>
      <c r="D519" s="144" t="str">
        <f t="shared" si="59"/>
        <v/>
      </c>
      <c r="E519" s="149"/>
      <c r="F519" s="144" t="str">
        <f t="shared" si="62"/>
        <v/>
      </c>
      <c r="G519" s="183"/>
      <c r="H519" s="144" t="str">
        <f t="shared" si="63"/>
        <v/>
      </c>
      <c r="I519" s="182"/>
      <c r="J519" s="182"/>
      <c r="K519" s="182"/>
      <c r="M519" s="139" t="str">
        <f t="shared" si="60"/>
        <v/>
      </c>
      <c r="N519" s="139" t="str">
        <f t="shared" si="61"/>
        <v/>
      </c>
    </row>
    <row r="520" spans="1:14">
      <c r="A520" s="143" t="str">
        <f>IF(C520="","",VLOOKUP('Opći dio'!$C$3,'Opći dio'!$L$6:$U$137,10,FALSE))</f>
        <v/>
      </c>
      <c r="B520" s="143" t="str">
        <f>IF(C520="","",VLOOKUP('Opći dio'!$C$3,'Opći dio'!$L$6:$U$137,9,FALSE))</f>
        <v/>
      </c>
      <c r="C520" s="149"/>
      <c r="D520" s="144" t="str">
        <f t="shared" si="59"/>
        <v/>
      </c>
      <c r="E520" s="149"/>
      <c r="F520" s="144" t="str">
        <f t="shared" si="62"/>
        <v/>
      </c>
      <c r="G520" s="183"/>
      <c r="H520" s="144" t="str">
        <f t="shared" si="63"/>
        <v/>
      </c>
      <c r="I520" s="182"/>
      <c r="J520" s="182"/>
      <c r="K520" s="182"/>
      <c r="M520" s="139" t="str">
        <f t="shared" si="60"/>
        <v/>
      </c>
      <c r="N520" s="139" t="str">
        <f t="shared" si="61"/>
        <v/>
      </c>
    </row>
    <row r="521" spans="1:14">
      <c r="A521" s="143" t="str">
        <f>IF(C521="","",VLOOKUP('Opći dio'!$C$3,'Opći dio'!$L$6:$U$137,10,FALSE))</f>
        <v/>
      </c>
      <c r="B521" s="143" t="str">
        <f>IF(C521="","",VLOOKUP('Opći dio'!$C$3,'Opći dio'!$L$6:$U$137,9,FALSE))</f>
        <v/>
      </c>
      <c r="C521" s="149"/>
      <c r="D521" s="144" t="str">
        <f t="shared" si="59"/>
        <v/>
      </c>
      <c r="E521" s="149"/>
      <c r="F521" s="144" t="str">
        <f t="shared" si="62"/>
        <v/>
      </c>
      <c r="G521" s="183"/>
      <c r="H521" s="144" t="str">
        <f t="shared" si="63"/>
        <v/>
      </c>
      <c r="I521" s="182"/>
      <c r="J521" s="182"/>
      <c r="K521" s="182"/>
      <c r="M521" s="139" t="str">
        <f t="shared" si="60"/>
        <v/>
      </c>
      <c r="N521" s="139" t="str">
        <f t="shared" si="61"/>
        <v/>
      </c>
    </row>
    <row r="522" spans="1:14">
      <c r="A522" s="143" t="str">
        <f>IF(C522="","",VLOOKUP('Opći dio'!$C$3,'Opći dio'!$L$6:$U$137,10,FALSE))</f>
        <v/>
      </c>
      <c r="B522" s="143" t="str">
        <f>IF(C522="","",VLOOKUP('Opći dio'!$C$3,'Opći dio'!$L$6:$U$137,9,FALSE))</f>
        <v/>
      </c>
      <c r="C522" s="149"/>
      <c r="D522" s="144" t="str">
        <f t="shared" si="59"/>
        <v/>
      </c>
      <c r="E522" s="149"/>
      <c r="F522" s="144" t="str">
        <f t="shared" si="62"/>
        <v/>
      </c>
      <c r="G522" s="183"/>
      <c r="H522" s="144" t="str">
        <f t="shared" si="63"/>
        <v/>
      </c>
      <c r="I522" s="182"/>
      <c r="J522" s="182"/>
      <c r="K522" s="182"/>
      <c r="M522" s="139" t="str">
        <f t="shared" si="60"/>
        <v/>
      </c>
      <c r="N522" s="139" t="str">
        <f t="shared" si="61"/>
        <v/>
      </c>
    </row>
    <row r="523" spans="1:14">
      <c r="A523" s="143" t="str">
        <f>IF(C523="","",VLOOKUP('Opći dio'!$C$3,'Opći dio'!$L$6:$U$137,10,FALSE))</f>
        <v/>
      </c>
      <c r="B523" s="143" t="str">
        <f>IF(C523="","",VLOOKUP('Opći dio'!$C$3,'Opći dio'!$L$6:$U$137,9,FALSE))</f>
        <v/>
      </c>
      <c r="C523" s="149"/>
      <c r="D523" s="144" t="str">
        <f t="shared" si="59"/>
        <v/>
      </c>
      <c r="E523" s="149"/>
      <c r="F523" s="144" t="str">
        <f t="shared" si="62"/>
        <v/>
      </c>
      <c r="G523" s="183"/>
      <c r="H523" s="144" t="str">
        <f t="shared" si="63"/>
        <v/>
      </c>
      <c r="I523" s="182"/>
      <c r="J523" s="182"/>
      <c r="K523" s="182"/>
      <c r="M523" s="139" t="str">
        <f t="shared" si="60"/>
        <v/>
      </c>
      <c r="N523" s="139" t="str">
        <f t="shared" si="61"/>
        <v/>
      </c>
    </row>
    <row r="524" spans="1:14">
      <c r="A524" s="143" t="str">
        <f>IF(C524="","",VLOOKUP('Opći dio'!$C$3,'Opći dio'!$L$6:$U$137,10,FALSE))</f>
        <v/>
      </c>
      <c r="B524" s="143" t="str">
        <f>IF(C524="","",VLOOKUP('Opći dio'!$C$3,'Opći dio'!$L$6:$U$137,9,FALSE))</f>
        <v/>
      </c>
      <c r="C524" s="149"/>
      <c r="D524" s="144" t="str">
        <f t="shared" si="59"/>
        <v/>
      </c>
      <c r="E524" s="149"/>
      <c r="F524" s="144" t="str">
        <f t="shared" si="62"/>
        <v/>
      </c>
      <c r="G524" s="183"/>
      <c r="H524" s="144" t="str">
        <f t="shared" si="63"/>
        <v/>
      </c>
      <c r="I524" s="182"/>
      <c r="J524" s="182"/>
      <c r="K524" s="182"/>
      <c r="M524" s="139" t="str">
        <f t="shared" si="60"/>
        <v/>
      </c>
      <c r="N524" s="139" t="str">
        <f t="shared" si="61"/>
        <v/>
      </c>
    </row>
    <row r="525" spans="1:14">
      <c r="A525" s="143" t="str">
        <f>IF(C525="","",VLOOKUP('Opći dio'!$C$3,'Opći dio'!$L$6:$U$137,10,FALSE))</f>
        <v/>
      </c>
      <c r="B525" s="143" t="str">
        <f>IF(C525="","",VLOOKUP('Opći dio'!$C$3,'Opći dio'!$L$6:$U$137,9,FALSE))</f>
        <v/>
      </c>
      <c r="C525" s="149"/>
      <c r="D525" s="144" t="str">
        <f t="shared" si="59"/>
        <v/>
      </c>
      <c r="E525" s="149"/>
      <c r="F525" s="144" t="str">
        <f t="shared" si="62"/>
        <v/>
      </c>
      <c r="G525" s="183"/>
      <c r="H525" s="144" t="str">
        <f t="shared" si="63"/>
        <v/>
      </c>
      <c r="I525" s="182"/>
      <c r="J525" s="182"/>
      <c r="K525" s="182"/>
      <c r="M525" s="139" t="str">
        <f t="shared" si="60"/>
        <v/>
      </c>
      <c r="N525" s="139" t="str">
        <f t="shared" si="61"/>
        <v/>
      </c>
    </row>
    <row r="526" spans="1:14"/>
    <row r="527" spans="1:14"/>
    <row r="528" spans="1:14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</sheetData>
  <sortState ref="X9:Y73">
    <sortCondition ref="X6"/>
  </sortState>
  <mergeCells count="1">
    <mergeCell ref="A1:D1"/>
  </mergeCells>
  <dataValidations xWindow="814" yWindow="422" count="5">
    <dataValidation type="whole" allowBlank="1" showInputMessage="1" showErrorMessage="1" sqref="K2" xr:uid="{48010BD2-F01D-440F-9261-DDD7E083E540}">
      <formula1>0</formula1>
      <formula2>100000000000000</formula2>
    </dataValidation>
    <dataValidation type="whole" allowBlank="1" showInputMessage="1" showErrorMessage="1" errorTitle="GREŠKA" error="U ovo polje je dozvoljen unos samo brojčanih vrijednosti (bez decimala!)" sqref="I3:K525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25" xr:uid="{00000000-0002-0000-0200-000001000000}">
      <formula1>$R$5:$R$144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25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25" xr:uid="{00000000-0002-0000-0200-000003000000}">
      <formula1>$X$6:$X$303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A1120"/>
  <sheetViews>
    <sheetView showGridLines="0" zoomScaleNormal="100" workbookViewId="0">
      <pane ySplit="2" topLeftCell="A255" activePane="bottomLeft" state="frozen"/>
      <selection pane="bottomLeft" activeCell="F276" sqref="F276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9.140625" style="139" customWidth="1"/>
    <col min="11" max="13" width="9.140625" style="139" hidden="1" customWidth="1"/>
    <col min="14" max="14" width="46.5703125" style="139" hidden="1" customWidth="1"/>
    <col min="15" max="16" width="9.140625" style="139" hidden="1" customWidth="1"/>
    <col min="17" max="17" width="58.85546875" style="139" hidden="1" customWidth="1"/>
    <col min="18" max="21" width="9.140625" style="139" hidden="1" customWidth="1"/>
    <col min="22" max="22" width="14.71093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3" ht="35.25" customHeight="1">
      <c r="A1" s="273" t="s">
        <v>764</v>
      </c>
      <c r="B1" s="273"/>
      <c r="C1" s="187" t="str">
        <f>IF('Opći dio'!C3="odaberite -","Molimo odaberite proračunskog korisnika na radnom listu Opći podaci!","")</f>
        <v/>
      </c>
    </row>
    <row r="2" spans="1:23" ht="38.25">
      <c r="A2" s="197" t="s">
        <v>758</v>
      </c>
      <c r="B2" s="198" t="s">
        <v>45</v>
      </c>
      <c r="C2" s="197" t="s">
        <v>756</v>
      </c>
      <c r="D2" s="198" t="s">
        <v>757</v>
      </c>
      <c r="E2" s="197" t="s">
        <v>765</v>
      </c>
      <c r="F2" s="198" t="s">
        <v>47</v>
      </c>
      <c r="G2" s="189" t="s">
        <v>1974</v>
      </c>
      <c r="H2" s="189" t="s">
        <v>3492</v>
      </c>
      <c r="I2" s="189" t="s">
        <v>3485</v>
      </c>
      <c r="K2" s="142" t="s">
        <v>732</v>
      </c>
      <c r="L2" s="142" t="s">
        <v>733</v>
      </c>
    </row>
    <row r="3" spans="1:23">
      <c r="A3" s="149">
        <v>52</v>
      </c>
      <c r="B3" s="258" t="str">
        <f t="shared" ref="B3:B13" si="0">IFERROR(VLOOKUP(A3,$M$7:$N$37,2,FALSE),"")</f>
        <v>Ostale pomoći</v>
      </c>
      <c r="C3" s="149">
        <v>3111</v>
      </c>
      <c r="D3" s="258" t="str">
        <f>IFERROR(VLOOKUP(C3,$P$6:$R$214,2,FALSE),"")</f>
        <v>Plaće za redovan rad</v>
      </c>
      <c r="E3" s="183" t="s">
        <v>843</v>
      </c>
      <c r="F3" s="258" t="str">
        <f t="shared" ref="F3:F13" si="1">IFERROR(VLOOKUP(E3,$V$7:$W$1103,2,FALSE),"")</f>
        <v>INTERREG DISCOVER projekt pozicioniranja slabije poznatih mjesta Italije i  Hrvatske na turističku kartu ponude</v>
      </c>
      <c r="G3" s="182">
        <v>23730.008731286423</v>
      </c>
      <c r="H3" s="182">
        <v>66166.47</v>
      </c>
      <c r="I3" s="182">
        <f t="shared" ref="I3:I118" si="2">+H3-G3</f>
        <v>42436.461268713581</v>
      </c>
      <c r="K3" s="139" t="str">
        <f t="shared" ref="K3:K57" si="3">LEFT(C3,3)</f>
        <v>311</v>
      </c>
      <c r="L3" s="139" t="str">
        <f t="shared" ref="L3:L57" si="4">LEFT(C3,2)</f>
        <v>31</v>
      </c>
    </row>
    <row r="4" spans="1:23">
      <c r="A4" s="149">
        <v>52</v>
      </c>
      <c r="B4" s="258" t="str">
        <f t="shared" si="0"/>
        <v>Ostale pomoći</v>
      </c>
      <c r="C4" s="149">
        <v>3121</v>
      </c>
      <c r="D4" s="258"/>
      <c r="E4" s="183" t="s">
        <v>843</v>
      </c>
      <c r="F4" s="258" t="str">
        <f t="shared" si="1"/>
        <v>INTERREG DISCOVER projekt pozicioniranja slabije poznatih mjesta Italije i  Hrvatske na turističku kartu ponude</v>
      </c>
      <c r="G4" s="182">
        <v>0</v>
      </c>
      <c r="H4" s="182">
        <v>1500</v>
      </c>
      <c r="I4" s="182">
        <f t="shared" si="2"/>
        <v>1500</v>
      </c>
    </row>
    <row r="5" spans="1:23">
      <c r="A5" s="149">
        <v>52</v>
      </c>
      <c r="B5" s="258" t="str">
        <f t="shared" si="0"/>
        <v>Ostale pomoći</v>
      </c>
      <c r="C5" s="149">
        <v>3132</v>
      </c>
      <c r="D5" s="258" t="str">
        <f t="shared" ref="D5:D13" si="5">IFERROR(VLOOKUP(C5,$P$6:$R$214,2,FALSE),"")</f>
        <v/>
      </c>
      <c r="E5" s="183" t="s">
        <v>843</v>
      </c>
      <c r="F5" s="258" t="str">
        <f t="shared" si="1"/>
        <v>INTERREG DISCOVER projekt pozicioniranja slabije poznatih mjesta Italije i  Hrvatske na turističku kartu ponude</v>
      </c>
      <c r="G5" s="182">
        <v>3915.2706750272851</v>
      </c>
      <c r="H5" s="182">
        <v>10586.23</v>
      </c>
      <c r="I5" s="182">
        <f t="shared" si="2"/>
        <v>6670.959324972715</v>
      </c>
      <c r="K5" s="139" t="str">
        <f t="shared" si="3"/>
        <v>313</v>
      </c>
      <c r="L5" s="139" t="str">
        <f t="shared" si="4"/>
        <v>31</v>
      </c>
      <c r="P5" s="145"/>
      <c r="Q5" s="145"/>
    </row>
    <row r="6" spans="1:23">
      <c r="A6" s="149">
        <v>52</v>
      </c>
      <c r="B6" s="258" t="str">
        <f t="shared" si="0"/>
        <v>Ostale pomoći</v>
      </c>
      <c r="C6" s="149">
        <v>3211</v>
      </c>
      <c r="D6" s="258" t="str">
        <f t="shared" si="5"/>
        <v>Službena putovanja</v>
      </c>
      <c r="E6" s="183" t="s">
        <v>843</v>
      </c>
      <c r="F6" s="258" t="str">
        <f t="shared" si="1"/>
        <v>INTERREG DISCOVER projekt pozicioniranja slabije poznatih mjesta Italije i  Hrvatske na turističku kartu ponude</v>
      </c>
      <c r="G6" s="182">
        <v>3954.2482650686766</v>
      </c>
      <c r="H6" s="182">
        <v>8285</v>
      </c>
      <c r="I6" s="182">
        <f t="shared" si="2"/>
        <v>4330.7517349313239</v>
      </c>
      <c r="K6" s="139" t="str">
        <f t="shared" si="3"/>
        <v>321</v>
      </c>
      <c r="L6" s="139" t="str">
        <f t="shared" si="4"/>
        <v>32</v>
      </c>
      <c r="M6" s="139" t="s">
        <v>44</v>
      </c>
      <c r="N6" s="139" t="s">
        <v>45</v>
      </c>
      <c r="P6" s="139">
        <v>3111</v>
      </c>
      <c r="Q6" s="139" t="s">
        <v>51</v>
      </c>
      <c r="S6" s="139" t="str">
        <f t="shared" ref="S6:S119" si="6">LEFT(P6,2)</f>
        <v>31</v>
      </c>
      <c r="T6" s="139" t="str">
        <f>LEFT(P6,3)</f>
        <v>311</v>
      </c>
      <c r="V6" s="139" t="s">
        <v>46</v>
      </c>
      <c r="W6" s="139" t="s">
        <v>47</v>
      </c>
    </row>
    <row r="7" spans="1:23">
      <c r="A7" s="149">
        <v>52</v>
      </c>
      <c r="B7" s="258" t="str">
        <f t="shared" si="0"/>
        <v>Ostale pomoći</v>
      </c>
      <c r="C7" s="149">
        <v>3221</v>
      </c>
      <c r="D7" s="258" t="str">
        <f t="shared" si="5"/>
        <v>Uredski materijal i ostali materijalni rashodi</v>
      </c>
      <c r="E7" s="183" t="s">
        <v>843</v>
      </c>
      <c r="F7" s="258" t="str">
        <f t="shared" si="1"/>
        <v>INTERREG DISCOVER projekt pozicioniranja slabije poznatih mjesta Italije i  Hrvatske na turističku kartu ponude</v>
      </c>
      <c r="G7" s="182">
        <v>4407.292137723688</v>
      </c>
      <c r="H7" s="182">
        <v>0</v>
      </c>
      <c r="I7" s="182">
        <f t="shared" si="2"/>
        <v>-4407.292137723688</v>
      </c>
      <c r="K7" s="139" t="str">
        <f t="shared" si="3"/>
        <v>322</v>
      </c>
      <c r="L7" s="139" t="str">
        <f t="shared" si="4"/>
        <v>32</v>
      </c>
      <c r="M7" s="139">
        <v>11</v>
      </c>
      <c r="N7" s="139" t="s">
        <v>50</v>
      </c>
      <c r="P7" s="139">
        <v>3112</v>
      </c>
      <c r="Q7" s="139" t="s">
        <v>150</v>
      </c>
      <c r="S7" s="139" t="str">
        <f t="shared" si="6"/>
        <v>31</v>
      </c>
      <c r="T7" s="139" t="str">
        <f t="shared" ref="T7:T129" si="7">LEFT(P7,3)</f>
        <v>311</v>
      </c>
      <c r="V7" s="139" t="s">
        <v>794</v>
      </c>
      <c r="W7" s="139" t="s">
        <v>794</v>
      </c>
    </row>
    <row r="8" spans="1:23">
      <c r="A8" s="149">
        <v>52</v>
      </c>
      <c r="B8" s="258" t="str">
        <f t="shared" si="0"/>
        <v>Ostale pomoći</v>
      </c>
      <c r="C8" s="149">
        <v>3233</v>
      </c>
      <c r="D8" s="258" t="str">
        <f t="shared" si="5"/>
        <v>Usluge promidžbe i informiranja</v>
      </c>
      <c r="E8" s="183" t="s">
        <v>843</v>
      </c>
      <c r="F8" s="258" t="str">
        <f t="shared" si="1"/>
        <v>INTERREG DISCOVER projekt pozicioniranja slabije poznatih mjesta Italije i  Hrvatske na turističku kartu ponude</v>
      </c>
      <c r="G8" s="182">
        <v>14412.105140956735</v>
      </c>
      <c r="H8" s="182">
        <v>0</v>
      </c>
      <c r="I8" s="182">
        <f t="shared" si="2"/>
        <v>-14412.105140956735</v>
      </c>
      <c r="K8" s="139" t="str">
        <f t="shared" si="3"/>
        <v>323</v>
      </c>
      <c r="L8" s="139" t="str">
        <f t="shared" si="4"/>
        <v>32</v>
      </c>
      <c r="M8" s="139">
        <v>12</v>
      </c>
      <c r="N8" s="139" t="s">
        <v>257</v>
      </c>
      <c r="P8" s="139">
        <v>3113</v>
      </c>
      <c r="Q8" s="139" t="s">
        <v>129</v>
      </c>
      <c r="S8" s="139" t="str">
        <f t="shared" si="6"/>
        <v>31</v>
      </c>
      <c r="T8" s="139" t="str">
        <f t="shared" si="7"/>
        <v>311</v>
      </c>
      <c r="V8" s="139" t="s">
        <v>1306</v>
      </c>
      <c r="W8" s="139" t="s">
        <v>1307</v>
      </c>
    </row>
    <row r="9" spans="1:23">
      <c r="A9" s="149">
        <v>52</v>
      </c>
      <c r="B9" s="258" t="str">
        <f t="shared" si="0"/>
        <v>Ostale pomoći</v>
      </c>
      <c r="C9" s="149">
        <v>3212</v>
      </c>
      <c r="D9" s="258" t="str">
        <f t="shared" si="5"/>
        <v>Naknade za prijevoz, za rad na terenu i odvojeni život</v>
      </c>
      <c r="E9" s="183" t="s">
        <v>843</v>
      </c>
      <c r="F9" s="258" t="str">
        <f t="shared" si="1"/>
        <v>INTERREG DISCOVER projekt pozicioniranja slabije poznatih mjesta Italije i  Hrvatske na turističku kartu ponude</v>
      </c>
      <c r="G9" s="182">
        <v>450.78430221782912</v>
      </c>
      <c r="H9" s="182">
        <v>2143</v>
      </c>
      <c r="I9" s="182">
        <f t="shared" si="2"/>
        <v>1692.215697782171</v>
      </c>
      <c r="K9" s="139" t="str">
        <f t="shared" si="3"/>
        <v>321</v>
      </c>
      <c r="L9" s="139" t="str">
        <f t="shared" si="4"/>
        <v>32</v>
      </c>
      <c r="M9" s="139">
        <v>31</v>
      </c>
      <c r="N9" s="139" t="s">
        <v>95</v>
      </c>
      <c r="P9" s="139">
        <v>3114</v>
      </c>
      <c r="Q9" s="139" t="s">
        <v>151</v>
      </c>
      <c r="S9" s="139" t="str">
        <f t="shared" si="6"/>
        <v>31</v>
      </c>
      <c r="T9" s="139" t="str">
        <f t="shared" si="7"/>
        <v>311</v>
      </c>
      <c r="V9" s="139" t="s">
        <v>1308</v>
      </c>
      <c r="W9" s="139" t="s">
        <v>1309</v>
      </c>
    </row>
    <row r="10" spans="1:23">
      <c r="A10" s="149">
        <v>52</v>
      </c>
      <c r="B10" s="258" t="str">
        <f t="shared" si="0"/>
        <v>Ostale pomoći</v>
      </c>
      <c r="C10" s="149">
        <v>3237</v>
      </c>
      <c r="D10" s="258" t="str">
        <f t="shared" si="5"/>
        <v>Intelektualne i osobne usluge</v>
      </c>
      <c r="E10" s="183" t="s">
        <v>843</v>
      </c>
      <c r="F10" s="258" t="str">
        <f t="shared" si="1"/>
        <v>INTERREG DISCOVER projekt pozicioniranja slabije poznatih mjesta Italije i  Hrvatske na turističku kartu ponude</v>
      </c>
      <c r="G10" s="182">
        <v>58857.290747719366</v>
      </c>
      <c r="H10" s="182">
        <v>18450</v>
      </c>
      <c r="I10" s="182">
        <f t="shared" si="2"/>
        <v>-40407.290747719366</v>
      </c>
      <c r="K10" s="139" t="str">
        <f t="shared" si="3"/>
        <v>323</v>
      </c>
      <c r="L10" s="139" t="str">
        <f t="shared" si="4"/>
        <v>32</v>
      </c>
      <c r="M10">
        <v>41</v>
      </c>
      <c r="N10" t="s">
        <v>1346</v>
      </c>
      <c r="P10" s="139">
        <v>3121</v>
      </c>
      <c r="Q10" s="139" t="s">
        <v>54</v>
      </c>
      <c r="S10" s="139" t="str">
        <f t="shared" si="6"/>
        <v>31</v>
      </c>
      <c r="T10" s="139" t="str">
        <f t="shared" si="7"/>
        <v>312</v>
      </c>
      <c r="V10" s="139" t="s">
        <v>1310</v>
      </c>
      <c r="W10" s="139" t="s">
        <v>1311</v>
      </c>
    </row>
    <row r="11" spans="1:23">
      <c r="A11" s="149">
        <v>52</v>
      </c>
      <c r="B11" s="258" t="str">
        <f t="shared" si="0"/>
        <v>Ostale pomoći</v>
      </c>
      <c r="C11" s="149">
        <v>3239</v>
      </c>
      <c r="D11" s="258" t="str">
        <f t="shared" si="5"/>
        <v>Ostale usluge</v>
      </c>
      <c r="E11" s="183" t="s">
        <v>843</v>
      </c>
      <c r="F11" s="258" t="str">
        <f t="shared" si="1"/>
        <v>INTERREG DISCOVER projekt pozicioniranja slabije poznatih mjesta Italije i  Hrvatske na turističku kartu ponude</v>
      </c>
      <c r="G11" s="182">
        <v>0</v>
      </c>
      <c r="H11" s="182">
        <v>91875</v>
      </c>
      <c r="I11" s="182">
        <f t="shared" si="2"/>
        <v>91875</v>
      </c>
      <c r="K11" s="139" t="str">
        <f t="shared" si="3"/>
        <v>323</v>
      </c>
      <c r="L11" s="139" t="str">
        <f t="shared" si="4"/>
        <v>32</v>
      </c>
      <c r="M11"/>
      <c r="N11"/>
    </row>
    <row r="12" spans="1:23">
      <c r="A12" s="149">
        <v>61</v>
      </c>
      <c r="B12" s="258" t="str">
        <f t="shared" si="0"/>
        <v>Donacije</v>
      </c>
      <c r="C12" s="149">
        <v>3111</v>
      </c>
      <c r="D12" s="258" t="str">
        <f t="shared" si="5"/>
        <v>Plaće za redovan rad</v>
      </c>
      <c r="E12" s="183" t="s">
        <v>1504</v>
      </c>
      <c r="F12" s="258" t="str">
        <f t="shared" si="1"/>
        <v>SAN -Pametna poljoprivredna mreža</v>
      </c>
      <c r="G12" s="182">
        <v>51358</v>
      </c>
      <c r="H12" s="182">
        <v>78767.44</v>
      </c>
      <c r="I12" s="182">
        <f t="shared" si="2"/>
        <v>27409.440000000002</v>
      </c>
      <c r="K12" s="139" t="str">
        <f t="shared" si="3"/>
        <v>311</v>
      </c>
      <c r="L12" s="139" t="str">
        <f t="shared" si="4"/>
        <v>31</v>
      </c>
      <c r="M12" s="139">
        <v>51</v>
      </c>
      <c r="N12" s="139" t="s">
        <v>90</v>
      </c>
      <c r="P12" s="139">
        <v>3211</v>
      </c>
      <c r="Q12" s="139" t="s">
        <v>82</v>
      </c>
      <c r="S12" s="139" t="str">
        <f t="shared" si="6"/>
        <v>32</v>
      </c>
      <c r="T12" s="139" t="str">
        <f t="shared" si="7"/>
        <v>321</v>
      </c>
      <c r="V12" s="139" t="s">
        <v>1313</v>
      </c>
      <c r="W12" s="139" t="s">
        <v>1314</v>
      </c>
    </row>
    <row r="13" spans="1:23">
      <c r="A13" s="149">
        <v>61</v>
      </c>
      <c r="B13" s="258" t="str">
        <f t="shared" si="0"/>
        <v>Donacije</v>
      </c>
      <c r="C13" s="149">
        <v>3132</v>
      </c>
      <c r="D13" s="258" t="str">
        <f t="shared" si="5"/>
        <v/>
      </c>
      <c r="E13" s="183" t="s">
        <v>1504</v>
      </c>
      <c r="F13" s="258" t="str">
        <f t="shared" si="1"/>
        <v>SAN -Pametna poljoprivredna mreža</v>
      </c>
      <c r="G13" s="182">
        <v>8474</v>
      </c>
      <c r="H13" s="182">
        <v>12996.59</v>
      </c>
      <c r="I13" s="182">
        <f t="shared" si="2"/>
        <v>4522.59</v>
      </c>
      <c r="K13" s="139" t="str">
        <f t="shared" si="3"/>
        <v>313</v>
      </c>
      <c r="L13" s="139" t="str">
        <f t="shared" si="4"/>
        <v>31</v>
      </c>
      <c r="M13" s="139">
        <v>52</v>
      </c>
      <c r="N13" s="139" t="s">
        <v>113</v>
      </c>
      <c r="P13" s="139">
        <v>3212</v>
      </c>
      <c r="Q13" s="139" t="s">
        <v>56</v>
      </c>
      <c r="S13" s="139" t="str">
        <f t="shared" si="6"/>
        <v>32</v>
      </c>
      <c r="T13" s="139" t="str">
        <f t="shared" si="7"/>
        <v>321</v>
      </c>
      <c r="V13" s="139" t="s">
        <v>1315</v>
      </c>
      <c r="W13" s="139" t="s">
        <v>1316</v>
      </c>
    </row>
    <row r="14" spans="1:23">
      <c r="A14" s="149">
        <v>61</v>
      </c>
      <c r="B14" s="258" t="s">
        <v>119</v>
      </c>
      <c r="C14" s="149" t="s">
        <v>3503</v>
      </c>
      <c r="D14" s="258"/>
      <c r="E14" s="183" t="s">
        <v>1504</v>
      </c>
      <c r="F14" s="258" t="s">
        <v>1505</v>
      </c>
      <c r="G14" s="182">
        <v>0</v>
      </c>
      <c r="H14" s="182">
        <v>14555.88</v>
      </c>
      <c r="I14" s="182">
        <f t="shared" si="2"/>
        <v>14555.88</v>
      </c>
    </row>
    <row r="15" spans="1:23">
      <c r="A15" s="149">
        <v>61</v>
      </c>
      <c r="B15" s="258" t="s">
        <v>119</v>
      </c>
      <c r="C15" s="149" t="s">
        <v>3504</v>
      </c>
      <c r="D15" s="258"/>
      <c r="E15" s="183" t="s">
        <v>1504</v>
      </c>
      <c r="F15" s="258" t="s">
        <v>1505</v>
      </c>
      <c r="G15" s="182">
        <v>0</v>
      </c>
      <c r="H15" s="182">
        <v>5790.22</v>
      </c>
      <c r="I15" s="182">
        <f t="shared" si="2"/>
        <v>5790.22</v>
      </c>
    </row>
    <row r="16" spans="1:23">
      <c r="A16" s="149">
        <v>61</v>
      </c>
      <c r="B16" s="258" t="s">
        <v>119</v>
      </c>
      <c r="C16" s="149" t="s">
        <v>3505</v>
      </c>
      <c r="D16" s="258"/>
      <c r="E16" s="183" t="s">
        <v>1504</v>
      </c>
      <c r="F16" s="258" t="s">
        <v>1505</v>
      </c>
      <c r="G16" s="182">
        <v>0</v>
      </c>
      <c r="H16" s="182">
        <v>3048</v>
      </c>
      <c r="I16" s="182">
        <f t="shared" si="2"/>
        <v>3048</v>
      </c>
    </row>
    <row r="17" spans="1:23">
      <c r="A17" s="149">
        <v>61</v>
      </c>
      <c r="B17" s="258" t="s">
        <v>119</v>
      </c>
      <c r="C17" s="149">
        <v>3221</v>
      </c>
      <c r="D17" s="258" t="str">
        <f>IFERROR(VLOOKUP(C17,$P$6:$R$214,2,FALSE),"")</f>
        <v>Uredski materijal i ostali materijalni rashodi</v>
      </c>
      <c r="E17" s="183" t="s">
        <v>1504</v>
      </c>
      <c r="F17" s="258" t="str">
        <f>IFERROR(VLOOKUP(E17,$V$7:$W$1103,2,FALSE),"")</f>
        <v>SAN -Pametna poljoprivredna mreža</v>
      </c>
      <c r="G17" s="182">
        <v>8979</v>
      </c>
      <c r="H17" s="182">
        <v>1422.38</v>
      </c>
      <c r="I17" s="182">
        <f t="shared" si="2"/>
        <v>-7556.62</v>
      </c>
      <c r="K17" s="139" t="str">
        <f t="shared" si="3"/>
        <v>322</v>
      </c>
      <c r="L17" s="139" t="str">
        <f t="shared" si="4"/>
        <v>32</v>
      </c>
      <c r="M17">
        <v>552</v>
      </c>
      <c r="N17" t="s">
        <v>1347</v>
      </c>
      <c r="P17" s="139">
        <v>3213</v>
      </c>
      <c r="Q17" s="139" t="s">
        <v>101</v>
      </c>
      <c r="S17" s="139" t="str">
        <f t="shared" si="6"/>
        <v>32</v>
      </c>
      <c r="T17" s="139" t="str">
        <f t="shared" si="7"/>
        <v>321</v>
      </c>
      <c r="V17" s="139" t="s">
        <v>1317</v>
      </c>
      <c r="W17" s="139" t="s">
        <v>1318</v>
      </c>
    </row>
    <row r="18" spans="1:23">
      <c r="A18" s="149">
        <v>61</v>
      </c>
      <c r="B18" s="258" t="s">
        <v>119</v>
      </c>
      <c r="C18" s="149" t="s">
        <v>3506</v>
      </c>
      <c r="D18" s="258"/>
      <c r="E18" s="183" t="s">
        <v>1504</v>
      </c>
      <c r="F18" s="258" t="s">
        <v>1505</v>
      </c>
      <c r="G18" s="182">
        <v>0</v>
      </c>
      <c r="H18" s="182">
        <v>11285.8</v>
      </c>
      <c r="I18" s="182">
        <f t="shared" si="2"/>
        <v>11285.8</v>
      </c>
      <c r="M18"/>
      <c r="N18"/>
    </row>
    <row r="19" spans="1:23">
      <c r="A19" s="149">
        <v>61</v>
      </c>
      <c r="B19" s="258" t="s">
        <v>119</v>
      </c>
      <c r="C19" s="149" t="s">
        <v>3507</v>
      </c>
      <c r="D19" s="258"/>
      <c r="E19" s="183" t="s">
        <v>1504</v>
      </c>
      <c r="F19" s="258" t="s">
        <v>1505</v>
      </c>
      <c r="G19" s="182">
        <v>0</v>
      </c>
      <c r="H19" s="182">
        <v>125</v>
      </c>
      <c r="I19" s="182">
        <f t="shared" si="2"/>
        <v>125</v>
      </c>
      <c r="M19"/>
      <c r="N19"/>
    </row>
    <row r="20" spans="1:23">
      <c r="A20" s="149">
        <v>61</v>
      </c>
      <c r="B20" s="258" t="s">
        <v>119</v>
      </c>
      <c r="C20" s="149" t="s">
        <v>3508</v>
      </c>
      <c r="D20" s="258"/>
      <c r="E20" s="183" t="s">
        <v>1504</v>
      </c>
      <c r="F20" s="258" t="s">
        <v>1505</v>
      </c>
      <c r="G20" s="182">
        <v>0</v>
      </c>
      <c r="H20" s="182">
        <v>1100</v>
      </c>
      <c r="I20" s="182">
        <f t="shared" si="2"/>
        <v>1100</v>
      </c>
      <c r="M20"/>
      <c r="N20"/>
    </row>
    <row r="21" spans="1:23">
      <c r="A21" s="149">
        <v>61</v>
      </c>
      <c r="B21" s="258" t="s">
        <v>119</v>
      </c>
      <c r="C21" s="149" t="s">
        <v>3509</v>
      </c>
      <c r="D21" s="258"/>
      <c r="E21" s="183" t="s">
        <v>1504</v>
      </c>
      <c r="F21" s="258" t="s">
        <v>1505</v>
      </c>
      <c r="G21" s="182">
        <v>0</v>
      </c>
      <c r="H21" s="182">
        <v>600</v>
      </c>
      <c r="I21" s="182">
        <f t="shared" si="2"/>
        <v>600</v>
      </c>
      <c r="M21"/>
      <c r="N21"/>
    </row>
    <row r="22" spans="1:23">
      <c r="A22" s="149">
        <v>61</v>
      </c>
      <c r="B22" s="258" t="s">
        <v>119</v>
      </c>
      <c r="C22" s="149" t="s">
        <v>3497</v>
      </c>
      <c r="D22" s="258"/>
      <c r="E22" s="183" t="s">
        <v>1504</v>
      </c>
      <c r="F22" s="258" t="s">
        <v>1505</v>
      </c>
      <c r="G22" s="182">
        <v>0</v>
      </c>
      <c r="H22" s="182">
        <v>7.25</v>
      </c>
      <c r="I22" s="182">
        <f t="shared" si="2"/>
        <v>7.25</v>
      </c>
      <c r="M22"/>
      <c r="N22"/>
    </row>
    <row r="23" spans="1:23">
      <c r="A23" s="149">
        <v>51</v>
      </c>
      <c r="B23" s="258" t="str">
        <f>IFERROR(VLOOKUP(A23,$M$7:$N$37,2,FALSE),"")</f>
        <v>Pomoći EU</v>
      </c>
      <c r="C23" s="149">
        <v>3111</v>
      </c>
      <c r="D23" s="258" t="str">
        <f>IFERROR(VLOOKUP(C23,$P$6:$R$214,2,FALSE),"")</f>
        <v>Plaće za redovan rad</v>
      </c>
      <c r="E23" s="183" t="s">
        <v>847</v>
      </c>
      <c r="F23" s="258" t="str">
        <f>IFERROR(VLOOKUP(E23,$V$7:$W$1103,2,FALSE),"")</f>
        <v>INTERREG GUTTA projekt pilot akcije pronalaska eko-rute s naglaskom na zaštitu okoliša</v>
      </c>
      <c r="G23" s="182">
        <v>58788.351630210476</v>
      </c>
      <c r="H23" s="182">
        <v>38474.79</v>
      </c>
      <c r="I23" s="182">
        <f t="shared" si="2"/>
        <v>-20313.561630210475</v>
      </c>
      <c r="K23" s="139" t="str">
        <f t="shared" si="3"/>
        <v>311</v>
      </c>
      <c r="L23" s="139" t="str">
        <f t="shared" si="4"/>
        <v>31</v>
      </c>
      <c r="M23" s="139">
        <v>561</v>
      </c>
      <c r="N23" s="139" t="s">
        <v>115</v>
      </c>
      <c r="P23" s="139">
        <v>3221</v>
      </c>
      <c r="Q23" s="139" t="s">
        <v>83</v>
      </c>
      <c r="S23" s="139" t="str">
        <f t="shared" si="6"/>
        <v>32</v>
      </c>
      <c r="T23" s="139" t="str">
        <f t="shared" si="7"/>
        <v>322</v>
      </c>
      <c r="V23" s="139" t="s">
        <v>1269</v>
      </c>
      <c r="W23" s="139" t="s">
        <v>1270</v>
      </c>
    </row>
    <row r="24" spans="1:23">
      <c r="A24" s="149">
        <v>51</v>
      </c>
      <c r="B24" s="258" t="str">
        <f>IFERROR(VLOOKUP(A24,$M$7:$N$37,2,FALSE),"")</f>
        <v>Pomoći EU</v>
      </c>
      <c r="C24" s="149">
        <v>3132</v>
      </c>
      <c r="D24" s="258" t="str">
        <f>IFERROR(VLOOKUP(C24,$P$6:$R$214,2,FALSE),"")</f>
        <v/>
      </c>
      <c r="E24" s="183" t="s">
        <v>847</v>
      </c>
      <c r="F24" s="258" t="str">
        <f>IFERROR(VLOOKUP(E24,$V$7:$W$1103,2,FALSE),"")</f>
        <v>INTERREG GUTTA projekt pilot akcije pronalaska eko-rute s naglaskom na zaštitu okoliša</v>
      </c>
      <c r="G24" s="182">
        <v>9625</v>
      </c>
      <c r="H24" s="182">
        <v>6348.35</v>
      </c>
      <c r="I24" s="182">
        <f t="shared" si="2"/>
        <v>-3276.6499999999996</v>
      </c>
      <c r="K24" s="139" t="str">
        <f t="shared" si="3"/>
        <v>313</v>
      </c>
      <c r="L24" s="139" t="str">
        <f t="shared" si="4"/>
        <v>31</v>
      </c>
      <c r="M24" s="139">
        <v>563</v>
      </c>
      <c r="N24" s="139" t="s">
        <v>117</v>
      </c>
      <c r="P24" s="139">
        <v>3222</v>
      </c>
      <c r="Q24" s="139" t="s">
        <v>104</v>
      </c>
      <c r="S24" s="139" t="str">
        <f t="shared" si="6"/>
        <v>32</v>
      </c>
      <c r="T24" s="139" t="str">
        <f t="shared" si="7"/>
        <v>322</v>
      </c>
      <c r="V24" s="139" t="s">
        <v>1271</v>
      </c>
      <c r="W24" s="139" t="s">
        <v>1272</v>
      </c>
    </row>
    <row r="25" spans="1:23">
      <c r="A25" s="149">
        <v>51</v>
      </c>
      <c r="B25" s="258" t="s">
        <v>90</v>
      </c>
      <c r="C25" s="149">
        <v>3211</v>
      </c>
      <c r="D25" s="258"/>
      <c r="E25" s="183" t="s">
        <v>847</v>
      </c>
      <c r="F25" s="258" t="s">
        <v>848</v>
      </c>
      <c r="G25" s="182">
        <v>0</v>
      </c>
      <c r="H25" s="182">
        <v>58719.28</v>
      </c>
      <c r="I25" s="182">
        <f t="shared" si="2"/>
        <v>58719.28</v>
      </c>
    </row>
    <row r="26" spans="1:23">
      <c r="A26" s="149">
        <v>51</v>
      </c>
      <c r="B26" s="258" t="s">
        <v>90</v>
      </c>
      <c r="C26" s="149">
        <v>3231</v>
      </c>
      <c r="D26" s="258"/>
      <c r="E26" s="183" t="s">
        <v>847</v>
      </c>
      <c r="F26" s="258" t="s">
        <v>848</v>
      </c>
      <c r="G26" s="182">
        <v>0</v>
      </c>
      <c r="H26" s="182">
        <v>451.99</v>
      </c>
      <c r="I26" s="182">
        <f t="shared" si="2"/>
        <v>451.99</v>
      </c>
    </row>
    <row r="27" spans="1:23">
      <c r="A27" s="149">
        <v>51</v>
      </c>
      <c r="B27" s="258" t="s">
        <v>90</v>
      </c>
      <c r="C27" s="149">
        <v>3236</v>
      </c>
      <c r="D27" s="258"/>
      <c r="E27" s="183" t="s">
        <v>847</v>
      </c>
      <c r="F27" s="258" t="s">
        <v>848</v>
      </c>
      <c r="G27" s="182">
        <v>0</v>
      </c>
      <c r="H27" s="182">
        <v>365.78</v>
      </c>
      <c r="I27" s="182">
        <f t="shared" si="2"/>
        <v>365.78</v>
      </c>
    </row>
    <row r="28" spans="1:23">
      <c r="A28" s="149">
        <v>51</v>
      </c>
      <c r="B28" s="258" t="s">
        <v>90</v>
      </c>
      <c r="C28" s="149">
        <v>3237</v>
      </c>
      <c r="D28" s="258"/>
      <c r="E28" s="183" t="s">
        <v>847</v>
      </c>
      <c r="F28" s="258" t="s">
        <v>848</v>
      </c>
      <c r="G28" s="182">
        <v>0</v>
      </c>
      <c r="H28" s="182">
        <v>9622.26</v>
      </c>
      <c r="I28" s="182">
        <f t="shared" si="2"/>
        <v>9622.26</v>
      </c>
    </row>
    <row r="29" spans="1:23">
      <c r="A29" s="149">
        <v>51</v>
      </c>
      <c r="B29" s="258" t="s">
        <v>90</v>
      </c>
      <c r="C29" s="149">
        <v>3241</v>
      </c>
      <c r="D29" s="258"/>
      <c r="E29" s="183" t="s">
        <v>847</v>
      </c>
      <c r="F29" s="258" t="s">
        <v>848</v>
      </c>
      <c r="G29" s="182">
        <v>0</v>
      </c>
      <c r="H29" s="182">
        <v>6004</v>
      </c>
      <c r="I29" s="182">
        <f t="shared" si="2"/>
        <v>6004</v>
      </c>
    </row>
    <row r="30" spans="1:23">
      <c r="A30" s="149">
        <v>51</v>
      </c>
      <c r="B30" s="258" t="s">
        <v>90</v>
      </c>
      <c r="C30" s="149">
        <v>3293</v>
      </c>
      <c r="D30" s="258"/>
      <c r="E30" s="183" t="s">
        <v>847</v>
      </c>
      <c r="F30" s="258" t="s">
        <v>848</v>
      </c>
      <c r="G30" s="182">
        <v>0</v>
      </c>
      <c r="H30" s="182">
        <v>1310</v>
      </c>
      <c r="I30" s="182">
        <f t="shared" si="2"/>
        <v>1310</v>
      </c>
    </row>
    <row r="31" spans="1:23">
      <c r="A31" s="149">
        <v>51</v>
      </c>
      <c r="B31" s="258" t="s">
        <v>90</v>
      </c>
      <c r="C31" s="149">
        <v>3431</v>
      </c>
      <c r="D31" s="258"/>
      <c r="E31" s="183" t="s">
        <v>847</v>
      </c>
      <c r="F31" s="258" t="s">
        <v>848</v>
      </c>
      <c r="G31" s="182">
        <v>0</v>
      </c>
      <c r="H31" s="182">
        <v>3</v>
      </c>
      <c r="I31" s="182">
        <f>+H31-G31</f>
        <v>3</v>
      </c>
    </row>
    <row r="32" spans="1:23">
      <c r="A32" s="149">
        <v>51</v>
      </c>
      <c r="B32" s="258" t="str">
        <f t="shared" ref="B32:B40" si="8">IFERROR(VLOOKUP(A32,$M$7:$N$37,2,FALSE),"")</f>
        <v>Pomoći EU</v>
      </c>
      <c r="C32" s="149">
        <v>4241</v>
      </c>
      <c r="D32" s="258" t="str">
        <f t="shared" ref="D32:D138" si="9">IFERROR(VLOOKUP(C32,$P$6:$R$214,2,FALSE),"")</f>
        <v>Knjige</v>
      </c>
      <c r="E32" s="183" t="s">
        <v>847</v>
      </c>
      <c r="F32" s="258" t="str">
        <f t="shared" ref="F32:F61" si="10">IFERROR(VLOOKUP(E32,$V$7:$W$1103,2,FALSE),"")</f>
        <v>INTERREG GUTTA projekt pilot akcije pronalaska eko-rute s naglaskom na zaštitu okoliša</v>
      </c>
      <c r="G32" s="182">
        <v>15180.090796533223</v>
      </c>
      <c r="H32" s="182">
        <v>0</v>
      </c>
      <c r="I32" s="182">
        <f t="shared" si="2"/>
        <v>-15180.090796533223</v>
      </c>
      <c r="K32" s="139" t="str">
        <f t="shared" si="3"/>
        <v>424</v>
      </c>
      <c r="L32" s="139" t="str">
        <f t="shared" si="4"/>
        <v>42</v>
      </c>
      <c r="M32" s="139">
        <v>573</v>
      </c>
      <c r="N32" t="s">
        <v>1358</v>
      </c>
      <c r="P32" s="139">
        <v>3223</v>
      </c>
      <c r="Q32" s="139" t="s">
        <v>92</v>
      </c>
      <c r="S32" s="139" t="str">
        <f t="shared" si="6"/>
        <v>32</v>
      </c>
      <c r="T32" s="139" t="str">
        <f t="shared" si="7"/>
        <v>322</v>
      </c>
      <c r="V32" s="139" t="s">
        <v>1273</v>
      </c>
      <c r="W32" s="139" t="s">
        <v>1274</v>
      </c>
    </row>
    <row r="33" spans="1:23">
      <c r="A33" s="149">
        <v>51</v>
      </c>
      <c r="B33" s="258" t="str">
        <f t="shared" si="8"/>
        <v>Pomoći EU</v>
      </c>
      <c r="C33" s="149">
        <v>3111</v>
      </c>
      <c r="D33" s="258" t="str">
        <f t="shared" si="9"/>
        <v>Plaće za redovan rad</v>
      </c>
      <c r="E33" s="183" t="s">
        <v>841</v>
      </c>
      <c r="F33" s="258" t="str">
        <f t="shared" si="10"/>
        <v>MADE IN-LAND projekt očuvanja prirodnih i kulturnih resursa u unutrašnjosti Italije i Hrvatske</v>
      </c>
      <c r="G33" s="182">
        <v>16927.179048388098</v>
      </c>
      <c r="H33" s="182">
        <v>17651.48</v>
      </c>
      <c r="I33" s="182">
        <f t="shared" si="2"/>
        <v>724.30095161190184</v>
      </c>
      <c r="K33" s="139" t="str">
        <f t="shared" si="3"/>
        <v>311</v>
      </c>
      <c r="L33" s="139" t="str">
        <f t="shared" si="4"/>
        <v>31</v>
      </c>
      <c r="M33" s="200">
        <v>576</v>
      </c>
      <c r="N33" s="236" t="s">
        <v>1897</v>
      </c>
      <c r="P33" s="139">
        <v>3225</v>
      </c>
      <c r="Q33" s="139" t="s">
        <v>105</v>
      </c>
      <c r="S33" s="139" t="str">
        <f t="shared" si="6"/>
        <v>32</v>
      </c>
      <c r="T33" s="139" t="str">
        <f t="shared" si="7"/>
        <v>322</v>
      </c>
      <c r="V33" s="139" t="s">
        <v>1277</v>
      </c>
      <c r="W33" s="139" t="s">
        <v>990</v>
      </c>
    </row>
    <row r="34" spans="1:23">
      <c r="A34" s="149">
        <v>51</v>
      </c>
      <c r="B34" s="258" t="str">
        <f t="shared" si="8"/>
        <v>Pomoći EU</v>
      </c>
      <c r="C34" s="149">
        <v>3132</v>
      </c>
      <c r="D34" s="258" t="str">
        <f t="shared" si="9"/>
        <v/>
      </c>
      <c r="E34" s="183" t="s">
        <v>841</v>
      </c>
      <c r="F34" s="258" t="str">
        <f t="shared" si="10"/>
        <v>MADE IN-LAND projekt očuvanja prirodnih i kulturnih resursa u unutrašnjosti Italije i Hrvatske</v>
      </c>
      <c r="G34" s="182">
        <v>4647.1771926827751</v>
      </c>
      <c r="H34" s="182">
        <v>2912.49</v>
      </c>
      <c r="I34" s="182">
        <f t="shared" si="2"/>
        <v>-1734.6871926827753</v>
      </c>
      <c r="K34" s="139" t="str">
        <f t="shared" si="3"/>
        <v>313</v>
      </c>
      <c r="L34" s="139" t="str">
        <f t="shared" si="4"/>
        <v>31</v>
      </c>
      <c r="M34" s="207">
        <v>581</v>
      </c>
      <c r="N34" s="208" t="s">
        <v>1976</v>
      </c>
      <c r="P34" s="139">
        <v>3226</v>
      </c>
      <c r="Q34" s="139" t="s">
        <v>179</v>
      </c>
      <c r="S34" s="139" t="str">
        <f t="shared" si="6"/>
        <v>32</v>
      </c>
      <c r="T34" s="139" t="str">
        <f t="shared" si="7"/>
        <v>322</v>
      </c>
      <c r="V34" s="139" t="s">
        <v>1278</v>
      </c>
      <c r="W34" s="139" t="s">
        <v>992</v>
      </c>
    </row>
    <row r="35" spans="1:23">
      <c r="A35" s="149">
        <v>51</v>
      </c>
      <c r="B35" s="258" t="str">
        <f t="shared" si="8"/>
        <v>Pomoći EU</v>
      </c>
      <c r="C35" s="149">
        <v>3211</v>
      </c>
      <c r="D35" s="258" t="str">
        <f t="shared" si="9"/>
        <v>Službena putovanja</v>
      </c>
      <c r="E35" s="183" t="s">
        <v>841</v>
      </c>
      <c r="F35" s="258" t="str">
        <f t="shared" si="10"/>
        <v>MADE IN-LAND projekt očuvanja prirodnih i kulturnih resursa u unutrašnjosti Italije i Hrvatske</v>
      </c>
      <c r="G35" s="182">
        <v>3450.0201875892913</v>
      </c>
      <c r="H35" s="182">
        <v>23519.7</v>
      </c>
      <c r="I35" s="182">
        <f t="shared" si="2"/>
        <v>20069.679812410708</v>
      </c>
      <c r="K35" s="139" t="str">
        <f t="shared" si="3"/>
        <v>321</v>
      </c>
      <c r="L35" s="139" t="str">
        <f t="shared" si="4"/>
        <v>32</v>
      </c>
      <c r="M35" s="139">
        <v>61</v>
      </c>
      <c r="N35" s="139" t="s">
        <v>119</v>
      </c>
      <c r="P35" s="139">
        <v>3227</v>
      </c>
      <c r="Q35" s="139" t="s">
        <v>122</v>
      </c>
      <c r="S35" s="139" t="str">
        <f t="shared" si="6"/>
        <v>32</v>
      </c>
      <c r="T35" s="139" t="str">
        <f t="shared" si="7"/>
        <v>322</v>
      </c>
      <c r="V35" s="139" t="s">
        <v>1279</v>
      </c>
      <c r="W35" s="139" t="s">
        <v>994</v>
      </c>
    </row>
    <row r="36" spans="1:23">
      <c r="A36" s="149">
        <v>51</v>
      </c>
      <c r="B36" s="258" t="str">
        <f t="shared" si="8"/>
        <v>Pomoći EU</v>
      </c>
      <c r="C36" s="149">
        <v>3212</v>
      </c>
      <c r="D36" s="258" t="str">
        <f t="shared" si="9"/>
        <v>Naknade za prijevoz, za rad na terenu i odvojeni život</v>
      </c>
      <c r="E36" s="183" t="s">
        <v>841</v>
      </c>
      <c r="F36" s="258" t="str">
        <f t="shared" si="10"/>
        <v>MADE IN-LAND projekt očuvanja prirodnih i kulturnih resursa u unutrašnjosti Italije i Hrvatske</v>
      </c>
      <c r="G36" s="182">
        <v>517.50302813839369</v>
      </c>
      <c r="H36" s="182">
        <v>500</v>
      </c>
      <c r="I36" s="182">
        <f t="shared" si="2"/>
        <v>-17.503028138393688</v>
      </c>
      <c r="K36" s="139" t="str">
        <f t="shared" si="3"/>
        <v>321</v>
      </c>
      <c r="L36" s="139" t="str">
        <f t="shared" si="4"/>
        <v>32</v>
      </c>
      <c r="M36" s="139">
        <v>71</v>
      </c>
      <c r="N36" s="139" t="s">
        <v>177</v>
      </c>
      <c r="P36" s="139">
        <v>3231</v>
      </c>
      <c r="Q36" s="139" t="s">
        <v>106</v>
      </c>
      <c r="S36" s="139" t="str">
        <f t="shared" si="6"/>
        <v>32</v>
      </c>
      <c r="T36" s="139" t="str">
        <f t="shared" si="7"/>
        <v>323</v>
      </c>
      <c r="V36" s="139" t="s">
        <v>1280</v>
      </c>
      <c r="W36" s="139" t="s">
        <v>1281</v>
      </c>
    </row>
    <row r="37" spans="1:23">
      <c r="A37" s="149">
        <v>51</v>
      </c>
      <c r="B37" s="258" t="str">
        <f t="shared" si="8"/>
        <v>Pomoći EU</v>
      </c>
      <c r="C37" s="149">
        <v>3221</v>
      </c>
      <c r="D37" s="258" t="str">
        <f t="shared" si="9"/>
        <v>Uredski materijal i ostali materijalni rashodi</v>
      </c>
      <c r="E37" s="183" t="s">
        <v>841</v>
      </c>
      <c r="F37" s="258" t="str">
        <f t="shared" si="10"/>
        <v>MADE IN-LAND projekt očuvanja prirodnih i kulturnih resursa u unutrašnjosti Italije i Hrvatske</v>
      </c>
      <c r="G37" s="182">
        <v>5106.0298776321506</v>
      </c>
      <c r="H37" s="182">
        <v>0</v>
      </c>
      <c r="I37" s="182">
        <f t="shared" si="2"/>
        <v>-5106.0298776321506</v>
      </c>
      <c r="K37" s="139" t="str">
        <f t="shared" si="3"/>
        <v>322</v>
      </c>
      <c r="L37" s="139" t="str">
        <f t="shared" si="4"/>
        <v>32</v>
      </c>
      <c r="M37" s="139">
        <v>81</v>
      </c>
      <c r="N37" s="139" t="s">
        <v>60</v>
      </c>
      <c r="P37" s="139">
        <v>3232</v>
      </c>
      <c r="Q37" s="139" t="s">
        <v>93</v>
      </c>
      <c r="S37" s="139" t="str">
        <f t="shared" si="6"/>
        <v>32</v>
      </c>
      <c r="T37" s="139" t="str">
        <f t="shared" si="7"/>
        <v>323</v>
      </c>
      <c r="V37" s="139" t="s">
        <v>1282</v>
      </c>
      <c r="W37" s="139" t="s">
        <v>1283</v>
      </c>
    </row>
    <row r="38" spans="1:23">
      <c r="A38" s="149">
        <v>51</v>
      </c>
      <c r="B38" s="258" t="str">
        <f t="shared" si="8"/>
        <v>Pomoći EU</v>
      </c>
      <c r="C38" s="149">
        <v>3231</v>
      </c>
      <c r="D38" s="258" t="str">
        <f t="shared" si="9"/>
        <v>Usluge telefona, pošte i prijevoza</v>
      </c>
      <c r="E38" s="183" t="s">
        <v>841</v>
      </c>
      <c r="F38" s="258" t="str">
        <f t="shared" si="10"/>
        <v>MADE IN-LAND projekt očuvanja prirodnih i kulturnih resursa u unutrašnjosti Italije i Hrvatske</v>
      </c>
      <c r="G38" s="182">
        <v>0</v>
      </c>
      <c r="H38" s="182">
        <v>3837.92</v>
      </c>
      <c r="I38" s="182">
        <f t="shared" si="2"/>
        <v>3837.92</v>
      </c>
      <c r="K38" s="139" t="str">
        <f t="shared" si="3"/>
        <v>323</v>
      </c>
      <c r="L38" s="139" t="str">
        <f t="shared" si="4"/>
        <v>32</v>
      </c>
    </row>
    <row r="39" spans="1:23">
      <c r="A39" s="149">
        <v>51</v>
      </c>
      <c r="B39" s="258" t="str">
        <f t="shared" si="8"/>
        <v>Pomoći EU</v>
      </c>
      <c r="C39" s="149">
        <v>3233</v>
      </c>
      <c r="D39" s="258" t="str">
        <f t="shared" si="9"/>
        <v>Usluge promidžbe i informiranja</v>
      </c>
      <c r="E39" s="183" t="s">
        <v>841</v>
      </c>
      <c r="F39" s="258" t="str">
        <f t="shared" si="10"/>
        <v>MADE IN-LAND projekt očuvanja prirodnih i kulturnih resursa u unutrašnjosti Italije i Hrvatske</v>
      </c>
      <c r="G39" s="182">
        <v>50974.048271631778</v>
      </c>
      <c r="H39" s="182">
        <v>67250</v>
      </c>
      <c r="I39" s="182">
        <f t="shared" si="2"/>
        <v>16275.951728368222</v>
      </c>
      <c r="K39" s="139" t="str">
        <f t="shared" si="3"/>
        <v>323</v>
      </c>
      <c r="L39" s="139" t="str">
        <f t="shared" si="4"/>
        <v>32</v>
      </c>
      <c r="M39" s="239">
        <v>83</v>
      </c>
      <c r="N39" s="239" t="s">
        <v>1349</v>
      </c>
      <c r="P39" s="139">
        <v>3233</v>
      </c>
      <c r="Q39" s="139" t="s">
        <v>81</v>
      </c>
      <c r="S39" s="139" t="str">
        <f t="shared" si="6"/>
        <v>32</v>
      </c>
      <c r="T39" s="139" t="str">
        <f t="shared" si="7"/>
        <v>323</v>
      </c>
      <c r="V39" s="139" t="s">
        <v>1284</v>
      </c>
      <c r="W39" s="139" t="s">
        <v>1285</v>
      </c>
    </row>
    <row r="40" spans="1:23">
      <c r="A40" s="149">
        <v>51</v>
      </c>
      <c r="B40" s="258" t="str">
        <f t="shared" si="8"/>
        <v>Pomoći EU</v>
      </c>
      <c r="C40" s="149">
        <v>3237</v>
      </c>
      <c r="D40" s="258" t="str">
        <f t="shared" si="9"/>
        <v>Intelektualne i osobne usluge</v>
      </c>
      <c r="E40" s="183" t="s">
        <v>841</v>
      </c>
      <c r="F40" s="258" t="str">
        <f t="shared" si="10"/>
        <v>MADE IN-LAND projekt očuvanja prirodnih i kulturnih resursa u unutrašnjosti Italije i Hrvatske</v>
      </c>
      <c r="G40" s="182">
        <v>7245.0423939375114</v>
      </c>
      <c r="H40" s="182">
        <v>10500</v>
      </c>
      <c r="I40" s="182">
        <f t="shared" si="2"/>
        <v>3254.9576060624886</v>
      </c>
      <c r="K40" s="139" t="str">
        <f t="shared" si="3"/>
        <v>323</v>
      </c>
      <c r="L40" s="139" t="str">
        <f t="shared" si="4"/>
        <v>32</v>
      </c>
      <c r="P40" s="139">
        <v>3234</v>
      </c>
      <c r="Q40" s="139" t="s">
        <v>94</v>
      </c>
      <c r="S40" s="139" t="str">
        <f t="shared" si="6"/>
        <v>32</v>
      </c>
      <c r="T40" s="139" t="str">
        <f t="shared" si="7"/>
        <v>323</v>
      </c>
      <c r="V40" s="139" t="s">
        <v>1286</v>
      </c>
      <c r="W40" s="139" t="s">
        <v>1287</v>
      </c>
    </row>
    <row r="41" spans="1:23">
      <c r="A41" s="149">
        <v>51</v>
      </c>
      <c r="B41" s="258" t="str">
        <f t="shared" ref="B41:B43" si="11">IFERROR(VLOOKUP(A41,$M$7:$N$37,2,FALSE),"")</f>
        <v>Pomoći EU</v>
      </c>
      <c r="C41" s="149">
        <v>3239</v>
      </c>
      <c r="D41" s="258" t="str">
        <f t="shared" si="9"/>
        <v>Ostale usluge</v>
      </c>
      <c r="E41" s="183" t="s">
        <v>841</v>
      </c>
      <c r="F41" s="258" t="str">
        <f t="shared" si="10"/>
        <v>MADE IN-LAND projekt očuvanja prirodnih i kulturnih resursa u unutrašnjosti Italije i Hrvatske</v>
      </c>
      <c r="G41" s="182">
        <v>0</v>
      </c>
      <c r="H41" s="182">
        <v>10000</v>
      </c>
      <c r="I41" s="182">
        <f t="shared" si="2"/>
        <v>10000</v>
      </c>
      <c r="K41" s="139" t="str">
        <f t="shared" si="3"/>
        <v>323</v>
      </c>
      <c r="L41" s="139" t="str">
        <f t="shared" si="4"/>
        <v>32</v>
      </c>
    </row>
    <row r="42" spans="1:23">
      <c r="A42" s="149">
        <v>51</v>
      </c>
      <c r="B42" s="258" t="str">
        <f t="shared" si="11"/>
        <v>Pomoći EU</v>
      </c>
      <c r="C42" s="149">
        <v>3431</v>
      </c>
      <c r="D42" s="258" t="str">
        <f t="shared" si="9"/>
        <v>Bankarske usluge i usluge platnog prometa</v>
      </c>
      <c r="E42" s="183" t="s">
        <v>841</v>
      </c>
      <c r="F42" s="258" t="str">
        <f t="shared" si="10"/>
        <v>MADE IN-LAND projekt očuvanja prirodnih i kulturnih resursa u unutrašnjosti Italije i Hrvatske</v>
      </c>
      <c r="G42" s="182">
        <v>0</v>
      </c>
      <c r="H42" s="182">
        <v>8.5</v>
      </c>
      <c r="I42" s="182">
        <f t="shared" si="2"/>
        <v>8.5</v>
      </c>
      <c r="K42" s="139" t="str">
        <f t="shared" si="3"/>
        <v>343</v>
      </c>
      <c r="L42" s="139" t="str">
        <f t="shared" si="4"/>
        <v>34</v>
      </c>
    </row>
    <row r="43" spans="1:23">
      <c r="A43" s="149">
        <v>51</v>
      </c>
      <c r="B43" s="258" t="str">
        <f t="shared" si="11"/>
        <v>Pomoći EU</v>
      </c>
      <c r="C43" s="149">
        <v>4221</v>
      </c>
      <c r="D43" s="258" t="str">
        <f t="shared" si="9"/>
        <v>Uredska oprema i namještaj</v>
      </c>
      <c r="E43" s="183" t="s">
        <v>841</v>
      </c>
      <c r="F43" s="258" t="str">
        <f t="shared" si="10"/>
        <v>MADE IN-LAND projekt očuvanja prirodnih i kulturnih resursa u unutrašnjosti Italije i Hrvatske</v>
      </c>
      <c r="G43" s="182">
        <v>0</v>
      </c>
      <c r="H43" s="182">
        <v>9400.25</v>
      </c>
      <c r="I43" s="182">
        <f t="shared" si="2"/>
        <v>9400.25</v>
      </c>
      <c r="K43" s="139" t="str">
        <f t="shared" si="3"/>
        <v>422</v>
      </c>
      <c r="L43" s="139" t="str">
        <f t="shared" si="4"/>
        <v>42</v>
      </c>
    </row>
    <row r="44" spans="1:23">
      <c r="A44" s="149">
        <v>51</v>
      </c>
      <c r="B44" s="258" t="str">
        <f t="shared" ref="B44:B49" si="12">IFERROR(VLOOKUP(A44,$M$7:$N$37,2,FALSE),"")</f>
        <v>Pomoći EU</v>
      </c>
      <c r="C44" s="149">
        <v>3111</v>
      </c>
      <c r="D44" s="258" t="str">
        <f t="shared" si="9"/>
        <v>Plaće za redovan rad</v>
      </c>
      <c r="E44" s="183" t="s">
        <v>1502</v>
      </c>
      <c r="F44" s="258" t="str">
        <f t="shared" si="10"/>
        <v>ERASMUS + EU-CONEXUXS</v>
      </c>
      <c r="G44" s="182">
        <v>129902.16</v>
      </c>
      <c r="H44" s="182">
        <v>701610</v>
      </c>
      <c r="I44" s="182">
        <f t="shared" si="2"/>
        <v>571707.84</v>
      </c>
      <c r="K44" s="139" t="str">
        <f t="shared" si="3"/>
        <v>311</v>
      </c>
      <c r="L44" s="139" t="str">
        <f t="shared" si="4"/>
        <v>31</v>
      </c>
      <c r="P44" s="139">
        <v>3236</v>
      </c>
      <c r="Q44" s="139" t="s">
        <v>57</v>
      </c>
      <c r="S44" s="139" t="str">
        <f t="shared" si="6"/>
        <v>32</v>
      </c>
      <c r="T44" s="139" t="str">
        <f t="shared" si="7"/>
        <v>323</v>
      </c>
      <c r="V44" s="139" t="s">
        <v>1290</v>
      </c>
      <c r="W44" s="139" t="s">
        <v>1291</v>
      </c>
    </row>
    <row r="45" spans="1:23">
      <c r="A45" s="149">
        <v>51</v>
      </c>
      <c r="B45" s="258" t="str">
        <f t="shared" si="12"/>
        <v>Pomoći EU</v>
      </c>
      <c r="C45" s="149">
        <v>3121</v>
      </c>
      <c r="D45" s="258" t="str">
        <f t="shared" si="9"/>
        <v>Ostali rashodi za zaposlene</v>
      </c>
      <c r="E45" s="183" t="s">
        <v>1502</v>
      </c>
      <c r="F45" s="258" t="str">
        <f t="shared" si="10"/>
        <v>ERASMUS + EU-CONEXUXS</v>
      </c>
      <c r="G45" s="182">
        <v>4140</v>
      </c>
      <c r="H45" s="182">
        <v>13500</v>
      </c>
      <c r="I45" s="182">
        <f t="shared" si="2"/>
        <v>9360</v>
      </c>
      <c r="K45" s="139" t="str">
        <f t="shared" si="3"/>
        <v>312</v>
      </c>
      <c r="L45" s="139" t="str">
        <f t="shared" si="4"/>
        <v>31</v>
      </c>
      <c r="P45" s="139">
        <v>3237</v>
      </c>
      <c r="Q45" s="139" t="s">
        <v>70</v>
      </c>
      <c r="S45" s="139" t="str">
        <f t="shared" si="6"/>
        <v>32</v>
      </c>
      <c r="T45" s="139" t="str">
        <f t="shared" si="7"/>
        <v>323</v>
      </c>
      <c r="V45" s="139" t="s">
        <v>1292</v>
      </c>
      <c r="W45" s="139" t="s">
        <v>1293</v>
      </c>
    </row>
    <row r="46" spans="1:23">
      <c r="A46" s="149">
        <v>51</v>
      </c>
      <c r="B46" s="258" t="str">
        <f t="shared" si="12"/>
        <v>Pomoći EU</v>
      </c>
      <c r="C46" s="149">
        <v>3132</v>
      </c>
      <c r="D46" s="258" t="str">
        <f t="shared" si="9"/>
        <v/>
      </c>
      <c r="E46" s="183" t="s">
        <v>1502</v>
      </c>
      <c r="F46" s="258" t="str">
        <f t="shared" si="10"/>
        <v>ERASMUS + EU-CONEXUXS</v>
      </c>
      <c r="G46" s="182">
        <v>21434.16</v>
      </c>
      <c r="H46" s="182">
        <v>115765.68</v>
      </c>
      <c r="I46" s="182">
        <f t="shared" si="2"/>
        <v>94331.51999999999</v>
      </c>
      <c r="K46" s="139" t="str">
        <f t="shared" si="3"/>
        <v>313</v>
      </c>
      <c r="L46" s="139" t="str">
        <f t="shared" si="4"/>
        <v>31</v>
      </c>
      <c r="P46" s="139">
        <v>3238</v>
      </c>
      <c r="Q46" s="139" t="s">
        <v>107</v>
      </c>
      <c r="S46" s="139" t="str">
        <f t="shared" si="6"/>
        <v>32</v>
      </c>
      <c r="T46" s="139" t="str">
        <f t="shared" si="7"/>
        <v>323</v>
      </c>
      <c r="V46" s="139" t="s">
        <v>1294</v>
      </c>
      <c r="W46" s="139" t="s">
        <v>1295</v>
      </c>
    </row>
    <row r="47" spans="1:23">
      <c r="A47" s="149">
        <v>51</v>
      </c>
      <c r="B47" s="258" t="str">
        <f t="shared" si="12"/>
        <v>Pomoći EU</v>
      </c>
      <c r="C47" s="149">
        <v>3211</v>
      </c>
      <c r="D47" s="258" t="str">
        <f t="shared" si="9"/>
        <v>Službena putovanja</v>
      </c>
      <c r="E47" s="183" t="s">
        <v>1502</v>
      </c>
      <c r="F47" s="258" t="str">
        <f t="shared" si="10"/>
        <v>ERASMUS + EU-CONEXUXS</v>
      </c>
      <c r="G47" s="182">
        <v>1102170.1199999999</v>
      </c>
      <c r="H47" s="182">
        <v>603220.2699999999</v>
      </c>
      <c r="I47" s="182">
        <f t="shared" si="2"/>
        <v>-498949.85</v>
      </c>
      <c r="K47" s="139" t="str">
        <f t="shared" si="3"/>
        <v>321</v>
      </c>
      <c r="L47" s="139" t="str">
        <f t="shared" si="4"/>
        <v>32</v>
      </c>
      <c r="P47" s="139">
        <v>3239</v>
      </c>
      <c r="Q47" s="139" t="s">
        <v>87</v>
      </c>
      <c r="S47" s="139" t="str">
        <f t="shared" si="6"/>
        <v>32</v>
      </c>
      <c r="T47" s="139" t="str">
        <f t="shared" si="7"/>
        <v>323</v>
      </c>
      <c r="V47" s="139" t="s">
        <v>1296</v>
      </c>
      <c r="W47" s="139" t="s">
        <v>1297</v>
      </c>
    </row>
    <row r="48" spans="1:23">
      <c r="A48" s="149">
        <v>51</v>
      </c>
      <c r="B48" s="258" t="str">
        <f t="shared" si="12"/>
        <v>Pomoći EU</v>
      </c>
      <c r="C48" s="149">
        <v>3212</v>
      </c>
      <c r="D48" s="258" t="str">
        <f t="shared" si="9"/>
        <v>Naknade za prijevoz, za rad na terenu i odvojeni život</v>
      </c>
      <c r="E48" s="183" t="s">
        <v>1502</v>
      </c>
      <c r="F48" s="258" t="str">
        <f t="shared" si="10"/>
        <v>ERASMUS + EU-CONEXUXS</v>
      </c>
      <c r="G48" s="182">
        <v>1552</v>
      </c>
      <c r="H48" s="182">
        <v>10025</v>
      </c>
      <c r="I48" s="182">
        <f t="shared" si="2"/>
        <v>8473</v>
      </c>
      <c r="K48" s="139" t="str">
        <f t="shared" si="3"/>
        <v>321</v>
      </c>
      <c r="L48" s="139" t="str">
        <f t="shared" si="4"/>
        <v>32</v>
      </c>
      <c r="P48" s="139">
        <v>3241</v>
      </c>
      <c r="Q48" s="139" t="s">
        <v>84</v>
      </c>
      <c r="S48" s="139" t="str">
        <f t="shared" si="6"/>
        <v>32</v>
      </c>
      <c r="T48" s="139" t="str">
        <f t="shared" si="7"/>
        <v>324</v>
      </c>
      <c r="V48" s="139" t="s">
        <v>1298</v>
      </c>
      <c r="W48" s="139" t="s">
        <v>1299</v>
      </c>
    </row>
    <row r="49" spans="1:23">
      <c r="A49" s="149">
        <v>51</v>
      </c>
      <c r="B49" s="258" t="str">
        <f t="shared" si="12"/>
        <v>Pomoći EU</v>
      </c>
      <c r="C49" s="149">
        <v>3221</v>
      </c>
      <c r="D49" s="258" t="str">
        <f t="shared" si="9"/>
        <v>Uredski materijal i ostali materijalni rashodi</v>
      </c>
      <c r="E49" s="183" t="s">
        <v>1502</v>
      </c>
      <c r="F49" s="258" t="str">
        <f t="shared" si="10"/>
        <v>ERASMUS + EU-CONEXUXS</v>
      </c>
      <c r="G49" s="182"/>
      <c r="H49" s="182">
        <v>993.6</v>
      </c>
      <c r="I49" s="182"/>
      <c r="K49" s="139" t="str">
        <f t="shared" si="3"/>
        <v>322</v>
      </c>
      <c r="L49" s="139" t="str">
        <f t="shared" si="4"/>
        <v>32</v>
      </c>
    </row>
    <row r="50" spans="1:23">
      <c r="A50" s="149">
        <v>51</v>
      </c>
      <c r="B50" s="258" t="str">
        <f t="shared" ref="B50:B57" si="13">IFERROR(VLOOKUP(A50,$M$7:$N$37,2,FALSE),"")</f>
        <v>Pomoći EU</v>
      </c>
      <c r="C50" s="149">
        <v>3231</v>
      </c>
      <c r="D50" s="258" t="str">
        <f t="shared" si="9"/>
        <v>Usluge telefona, pošte i prijevoza</v>
      </c>
      <c r="E50" s="183" t="s">
        <v>1502</v>
      </c>
      <c r="F50" s="258" t="str">
        <f t="shared" si="10"/>
        <v>ERASMUS + EU-CONEXUXS</v>
      </c>
      <c r="G50" s="182">
        <v>0</v>
      </c>
      <c r="H50" s="182">
        <v>110301.87</v>
      </c>
      <c r="I50" s="182">
        <f t="shared" si="2"/>
        <v>110301.87</v>
      </c>
      <c r="K50" s="139" t="str">
        <f t="shared" si="3"/>
        <v>323</v>
      </c>
      <c r="L50" s="139" t="str">
        <f t="shared" si="4"/>
        <v>32</v>
      </c>
    </row>
    <row r="51" spans="1:23">
      <c r="A51" s="149">
        <v>51</v>
      </c>
      <c r="B51" s="258" t="str">
        <f t="shared" si="13"/>
        <v>Pomoći EU</v>
      </c>
      <c r="C51" s="149">
        <v>3235</v>
      </c>
      <c r="D51" s="258" t="str">
        <f t="shared" si="9"/>
        <v/>
      </c>
      <c r="E51" s="183" t="s">
        <v>1502</v>
      </c>
      <c r="F51" s="258" t="str">
        <f t="shared" si="10"/>
        <v>ERASMUS + EU-CONEXUXS</v>
      </c>
      <c r="G51" s="182">
        <v>28203.75</v>
      </c>
      <c r="H51" s="182">
        <v>0</v>
      </c>
      <c r="I51" s="182">
        <f t="shared" si="2"/>
        <v>-28203.75</v>
      </c>
      <c r="K51" s="139" t="str">
        <f t="shared" si="3"/>
        <v>323</v>
      </c>
      <c r="L51" s="139" t="str">
        <f t="shared" si="4"/>
        <v>32</v>
      </c>
      <c r="P51" s="139">
        <v>3291</v>
      </c>
      <c r="Q51" s="139" t="s">
        <v>85</v>
      </c>
      <c r="S51" s="139" t="str">
        <f t="shared" si="6"/>
        <v>32</v>
      </c>
      <c r="T51" s="139" t="str">
        <f t="shared" si="7"/>
        <v>329</v>
      </c>
      <c r="V51" s="139" t="s">
        <v>1300</v>
      </c>
      <c r="W51" s="139" t="s">
        <v>1301</v>
      </c>
    </row>
    <row r="52" spans="1:23">
      <c r="A52" s="149">
        <v>51</v>
      </c>
      <c r="B52" s="258" t="str">
        <f t="shared" si="13"/>
        <v>Pomoći EU</v>
      </c>
      <c r="C52" s="149">
        <v>3236</v>
      </c>
      <c r="D52" s="258" t="str">
        <f t="shared" si="9"/>
        <v>Zdravstvene i veterinarske usluge</v>
      </c>
      <c r="E52" s="183" t="s">
        <v>1502</v>
      </c>
      <c r="F52" s="258" t="str">
        <f t="shared" si="10"/>
        <v>ERASMUS + EU-CONEXUXS</v>
      </c>
      <c r="G52" s="182">
        <v>0</v>
      </c>
      <c r="H52" s="182">
        <v>1822.5</v>
      </c>
      <c r="I52" s="182">
        <f t="shared" si="2"/>
        <v>1822.5</v>
      </c>
      <c r="K52" s="139" t="str">
        <f t="shared" si="3"/>
        <v>323</v>
      </c>
      <c r="L52" s="139" t="str">
        <f t="shared" si="4"/>
        <v>32</v>
      </c>
    </row>
    <row r="53" spans="1:23">
      <c r="A53" s="149">
        <v>51</v>
      </c>
      <c r="B53" s="258" t="str">
        <f t="shared" si="13"/>
        <v>Pomoći EU</v>
      </c>
      <c r="C53" s="149">
        <v>3239</v>
      </c>
      <c r="D53" s="258" t="str">
        <f t="shared" si="9"/>
        <v>Ostale usluge</v>
      </c>
      <c r="E53" s="183" t="s">
        <v>1502</v>
      </c>
      <c r="F53" s="258" t="str">
        <f t="shared" si="10"/>
        <v>ERASMUS + EU-CONEXUXS</v>
      </c>
      <c r="G53" s="182">
        <v>139352.4</v>
      </c>
      <c r="H53" s="182">
        <v>4050</v>
      </c>
      <c r="I53" s="182">
        <f t="shared" si="2"/>
        <v>-135302.39999999999</v>
      </c>
      <c r="K53" s="139" t="str">
        <f t="shared" si="3"/>
        <v>323</v>
      </c>
      <c r="L53" s="139" t="str">
        <f t="shared" si="4"/>
        <v>32</v>
      </c>
      <c r="P53" s="139">
        <v>3292</v>
      </c>
      <c r="Q53" s="139" t="s">
        <v>78</v>
      </c>
      <c r="S53" s="139" t="str">
        <f t="shared" si="6"/>
        <v>32</v>
      </c>
      <c r="T53" s="139" t="str">
        <f t="shared" si="7"/>
        <v>329</v>
      </c>
      <c r="V53" s="139" t="s">
        <v>1302</v>
      </c>
      <c r="W53" s="139" t="s">
        <v>1303</v>
      </c>
    </row>
    <row r="54" spans="1:23">
      <c r="A54" s="149">
        <v>51</v>
      </c>
      <c r="B54" s="258" t="str">
        <f t="shared" si="13"/>
        <v>Pomoći EU</v>
      </c>
      <c r="C54" s="149">
        <v>3241</v>
      </c>
      <c r="D54" s="258" t="str">
        <f t="shared" si="9"/>
        <v>Naknade troškova osobama izvan radnog odnosa</v>
      </c>
      <c r="E54" s="183" t="s">
        <v>1502</v>
      </c>
      <c r="F54" s="258" t="str">
        <f t="shared" si="10"/>
        <v>ERASMUS + EU-CONEXUXS</v>
      </c>
      <c r="G54" s="182">
        <v>0</v>
      </c>
      <c r="H54" s="182">
        <v>30724</v>
      </c>
      <c r="I54" s="182">
        <f t="shared" si="2"/>
        <v>30724</v>
      </c>
      <c r="K54" s="139" t="str">
        <f t="shared" si="3"/>
        <v>324</v>
      </c>
      <c r="L54" s="139" t="str">
        <f t="shared" si="4"/>
        <v>32</v>
      </c>
    </row>
    <row r="55" spans="1:23">
      <c r="A55" s="149">
        <v>51</v>
      </c>
      <c r="B55" s="258" t="str">
        <f t="shared" si="13"/>
        <v>Pomoći EU</v>
      </c>
      <c r="C55" s="149">
        <v>3293</v>
      </c>
      <c r="D55" s="258" t="str">
        <f t="shared" si="9"/>
        <v xml:space="preserve">  Reprezentacija</v>
      </c>
      <c r="E55" s="183" t="s">
        <v>1502</v>
      </c>
      <c r="F55" s="258" t="str">
        <f t="shared" si="10"/>
        <v>ERASMUS + EU-CONEXUXS</v>
      </c>
      <c r="G55" s="182">
        <v>0</v>
      </c>
      <c r="H55" s="182">
        <v>1093.5</v>
      </c>
      <c r="I55" s="182">
        <f t="shared" si="2"/>
        <v>1093.5</v>
      </c>
      <c r="K55" s="139" t="str">
        <f t="shared" si="3"/>
        <v>329</v>
      </c>
      <c r="L55" s="139" t="str">
        <f t="shared" si="4"/>
        <v>32</v>
      </c>
    </row>
    <row r="56" spans="1:23">
      <c r="A56" s="149">
        <v>51</v>
      </c>
      <c r="B56" s="258" t="str">
        <f t="shared" si="13"/>
        <v>Pomoći EU</v>
      </c>
      <c r="C56" s="149">
        <v>3431</v>
      </c>
      <c r="D56" s="258" t="str">
        <f t="shared" si="9"/>
        <v>Bankarske usluge i usluge platnog prometa</v>
      </c>
      <c r="E56" s="183" t="s">
        <v>1502</v>
      </c>
      <c r="F56" s="258" t="str">
        <f t="shared" si="10"/>
        <v>ERASMUS + EU-CONEXUXS</v>
      </c>
      <c r="G56" s="182">
        <v>0</v>
      </c>
      <c r="H56" s="182">
        <v>7</v>
      </c>
      <c r="I56" s="182">
        <f t="shared" si="2"/>
        <v>7</v>
      </c>
      <c r="K56" s="139" t="str">
        <f t="shared" si="3"/>
        <v>343</v>
      </c>
      <c r="L56" s="139" t="str">
        <f t="shared" si="4"/>
        <v>34</v>
      </c>
    </row>
    <row r="57" spans="1:23">
      <c r="A57" s="149">
        <v>51</v>
      </c>
      <c r="B57" s="258" t="str">
        <f t="shared" si="13"/>
        <v>Pomoći EU</v>
      </c>
      <c r="C57" s="149">
        <v>4221</v>
      </c>
      <c r="D57" s="258" t="str">
        <f t="shared" si="9"/>
        <v>Uredska oprema i namještaj</v>
      </c>
      <c r="E57" s="183" t="s">
        <v>1502</v>
      </c>
      <c r="F57" s="258" t="str">
        <f t="shared" si="10"/>
        <v>ERASMUS + EU-CONEXUXS</v>
      </c>
      <c r="G57" s="182">
        <v>0</v>
      </c>
      <c r="H57" s="182">
        <v>11280</v>
      </c>
      <c r="I57" s="182">
        <f t="shared" si="2"/>
        <v>11280</v>
      </c>
      <c r="K57" s="139" t="str">
        <f t="shared" si="3"/>
        <v>422</v>
      </c>
      <c r="L57" s="139" t="str">
        <f t="shared" si="4"/>
        <v>42</v>
      </c>
    </row>
    <row r="58" spans="1:23">
      <c r="A58" s="149">
        <v>52</v>
      </c>
      <c r="B58" s="258" t="str">
        <f t="shared" ref="B58:B139" si="14">IFERROR(VLOOKUP(A58,$M$7:$N$37,2,FALSE),"")</f>
        <v>Ostale pomoći</v>
      </c>
      <c r="C58" s="149">
        <v>4221</v>
      </c>
      <c r="D58" s="258" t="str">
        <f t="shared" si="9"/>
        <v>Uredska oprema i namještaj</v>
      </c>
      <c r="E58" s="183" t="s">
        <v>1502</v>
      </c>
      <c r="F58" s="258" t="str">
        <f t="shared" si="10"/>
        <v>ERASMUS + EU-CONEXUXS</v>
      </c>
      <c r="G58" s="182">
        <v>56490</v>
      </c>
      <c r="H58" s="182">
        <v>0</v>
      </c>
      <c r="I58" s="182">
        <f t="shared" si="2"/>
        <v>-56490</v>
      </c>
      <c r="K58" s="139" t="str">
        <f t="shared" ref="K58:K118" si="15">LEFT(C58,3)</f>
        <v>422</v>
      </c>
      <c r="L58" s="139" t="str">
        <f t="shared" ref="L58:L118" si="16">LEFT(C58,2)</f>
        <v>42</v>
      </c>
      <c r="P58" s="139">
        <v>3293</v>
      </c>
      <c r="Q58" s="139" t="s">
        <v>135</v>
      </c>
      <c r="S58" s="139" t="str">
        <f t="shared" si="6"/>
        <v>32</v>
      </c>
      <c r="T58" s="139" t="str">
        <f t="shared" si="7"/>
        <v>329</v>
      </c>
      <c r="V58" s="139" t="s">
        <v>1391</v>
      </c>
      <c r="W58" s="139" t="s">
        <v>1326</v>
      </c>
    </row>
    <row r="59" spans="1:23">
      <c r="A59" s="149">
        <v>52</v>
      </c>
      <c r="B59" s="258" t="str">
        <f t="shared" si="14"/>
        <v>Ostale pomoći</v>
      </c>
      <c r="C59" s="149">
        <v>4231</v>
      </c>
      <c r="D59" s="258" t="str">
        <f t="shared" si="9"/>
        <v>Prijevozna sredstva u cestovnom prometu</v>
      </c>
      <c r="E59" s="183" t="s">
        <v>1502</v>
      </c>
      <c r="F59" s="258" t="str">
        <f t="shared" si="10"/>
        <v>ERASMUS + EU-CONEXUXS</v>
      </c>
      <c r="G59" s="182">
        <v>0</v>
      </c>
      <c r="H59" s="182">
        <v>250000</v>
      </c>
      <c r="I59" s="182">
        <f t="shared" si="2"/>
        <v>250000</v>
      </c>
      <c r="K59" s="139" t="str">
        <f t="shared" si="15"/>
        <v>423</v>
      </c>
      <c r="L59" s="139" t="str">
        <f t="shared" si="16"/>
        <v>42</v>
      </c>
    </row>
    <row r="60" spans="1:23">
      <c r="A60" s="149">
        <v>52</v>
      </c>
      <c r="B60" s="258" t="str">
        <f t="shared" si="14"/>
        <v>Ostale pomoći</v>
      </c>
      <c r="C60" s="149">
        <v>4224</v>
      </c>
      <c r="D60" s="258" t="str">
        <f t="shared" si="9"/>
        <v>Medicinska i laboratorijska oprema</v>
      </c>
      <c r="E60" s="183" t="s">
        <v>1502</v>
      </c>
      <c r="F60" s="258" t="str">
        <f t="shared" si="10"/>
        <v>ERASMUS + EU-CONEXUXS</v>
      </c>
      <c r="G60" s="182">
        <v>84736</v>
      </c>
      <c r="H60" s="182">
        <v>0</v>
      </c>
      <c r="I60" s="182">
        <f t="shared" si="2"/>
        <v>-84736</v>
      </c>
      <c r="K60" s="139" t="str">
        <f t="shared" si="15"/>
        <v>422</v>
      </c>
      <c r="L60" s="139" t="str">
        <f t="shared" si="16"/>
        <v>42</v>
      </c>
      <c r="P60" s="139">
        <v>3294</v>
      </c>
      <c r="Q60" s="139" t="s">
        <v>89</v>
      </c>
      <c r="S60" s="139" t="str">
        <f t="shared" si="6"/>
        <v>32</v>
      </c>
      <c r="T60" s="139" t="str">
        <f t="shared" si="7"/>
        <v>329</v>
      </c>
      <c r="V60" s="139" t="s">
        <v>2232</v>
      </c>
      <c r="W60" s="139" t="s">
        <v>2233</v>
      </c>
    </row>
    <row r="61" spans="1:23">
      <c r="A61" s="149">
        <v>52</v>
      </c>
      <c r="B61" s="258" t="str">
        <f t="shared" si="14"/>
        <v>Ostale pomoći</v>
      </c>
      <c r="C61" s="149">
        <v>3111</v>
      </c>
      <c r="D61" s="258" t="str">
        <f t="shared" si="9"/>
        <v>Plaće za redovan rad</v>
      </c>
      <c r="E61" s="183" t="s">
        <v>2463</v>
      </c>
      <c r="F61" s="258" t="str">
        <f t="shared" si="10"/>
        <v>Interreg Italija Hrvatska ERDF</v>
      </c>
      <c r="G61" s="182">
        <v>111545.76617111909</v>
      </c>
      <c r="H61" s="182">
        <v>82513.539999999994</v>
      </c>
      <c r="I61" s="182">
        <f t="shared" si="2"/>
        <v>-29032.226171119095</v>
      </c>
      <c r="K61" s="139" t="str">
        <f t="shared" si="15"/>
        <v>311</v>
      </c>
      <c r="L61" s="139" t="str">
        <f t="shared" si="16"/>
        <v>31</v>
      </c>
      <c r="P61" s="139">
        <v>3296</v>
      </c>
      <c r="Q61" s="139" t="s">
        <v>152</v>
      </c>
      <c r="S61" s="139" t="str">
        <f t="shared" si="6"/>
        <v>32</v>
      </c>
      <c r="T61" s="139" t="str">
        <f t="shared" si="7"/>
        <v>329</v>
      </c>
      <c r="V61" s="139" t="s">
        <v>797</v>
      </c>
      <c r="W61" s="139" t="s">
        <v>798</v>
      </c>
    </row>
    <row r="62" spans="1:23">
      <c r="A62" s="149">
        <v>52</v>
      </c>
      <c r="B62" s="258" t="s">
        <v>113</v>
      </c>
      <c r="C62" s="149">
        <v>3121</v>
      </c>
      <c r="D62" s="258" t="str">
        <f t="shared" si="9"/>
        <v>Ostali rashodi za zaposlene</v>
      </c>
      <c r="E62" s="183" t="s">
        <v>2463</v>
      </c>
      <c r="F62" s="258" t="s">
        <v>2464</v>
      </c>
      <c r="G62" s="182">
        <v>0</v>
      </c>
      <c r="H62" s="182">
        <v>1500</v>
      </c>
      <c r="I62" s="182">
        <f t="shared" si="2"/>
        <v>1500</v>
      </c>
      <c r="K62" s="139" t="str">
        <f t="shared" si="15"/>
        <v>312</v>
      </c>
      <c r="L62" s="139" t="str">
        <f t="shared" si="16"/>
        <v>31</v>
      </c>
    </row>
    <row r="63" spans="1:23">
      <c r="A63" s="149">
        <v>52</v>
      </c>
      <c r="B63" s="258" t="s">
        <v>113</v>
      </c>
      <c r="C63" s="149">
        <v>3132</v>
      </c>
      <c r="D63" s="258"/>
      <c r="E63" s="183" t="s">
        <v>2463</v>
      </c>
      <c r="F63" s="258" t="s">
        <v>2464</v>
      </c>
      <c r="G63" s="182">
        <v>0</v>
      </c>
      <c r="H63" s="182">
        <v>13614.7</v>
      </c>
      <c r="I63" s="182">
        <f t="shared" si="2"/>
        <v>13614.7</v>
      </c>
    </row>
    <row r="64" spans="1:23">
      <c r="A64" s="149">
        <v>52</v>
      </c>
      <c r="B64" s="258" t="s">
        <v>113</v>
      </c>
      <c r="C64" s="149">
        <v>3211</v>
      </c>
      <c r="D64" s="258" t="str">
        <f t="shared" si="9"/>
        <v>Službena putovanja</v>
      </c>
      <c r="E64" s="183" t="s">
        <v>2463</v>
      </c>
      <c r="F64" s="258" t="s">
        <v>2464</v>
      </c>
      <c r="G64" s="182">
        <v>100835.20339078677</v>
      </c>
      <c r="H64" s="182">
        <v>62297.759999999995</v>
      </c>
      <c r="I64" s="182">
        <f t="shared" si="2"/>
        <v>-38537.443390786779</v>
      </c>
      <c r="K64" s="139" t="str">
        <f t="shared" si="15"/>
        <v>321</v>
      </c>
      <c r="L64" s="139" t="str">
        <f t="shared" si="16"/>
        <v>32</v>
      </c>
      <c r="P64" s="139">
        <v>3299</v>
      </c>
      <c r="Q64" s="139" t="s">
        <v>61</v>
      </c>
      <c r="S64" s="139" t="str">
        <f t="shared" si="6"/>
        <v>32</v>
      </c>
      <c r="T64" s="139" t="str">
        <f t="shared" si="7"/>
        <v>329</v>
      </c>
      <c r="V64" s="139" t="s">
        <v>799</v>
      </c>
      <c r="W64" s="139" t="s">
        <v>800</v>
      </c>
    </row>
    <row r="65" spans="1:23">
      <c r="A65" s="149">
        <v>52</v>
      </c>
      <c r="B65" s="258" t="s">
        <v>113</v>
      </c>
      <c r="C65" s="149">
        <v>3212</v>
      </c>
      <c r="D65" s="258" t="str">
        <f t="shared" si="9"/>
        <v>Naknade za prijevoz, za rad na terenu i odvojeni život</v>
      </c>
      <c r="E65" s="183" t="s">
        <v>2463</v>
      </c>
      <c r="F65" s="258" t="s">
        <v>2464</v>
      </c>
      <c r="G65" s="182">
        <v>0</v>
      </c>
      <c r="H65" s="182">
        <v>2630</v>
      </c>
      <c r="I65" s="182">
        <f t="shared" si="2"/>
        <v>2630</v>
      </c>
      <c r="K65" s="139" t="str">
        <f t="shared" si="15"/>
        <v>321</v>
      </c>
      <c r="L65" s="139" t="str">
        <f t="shared" si="16"/>
        <v>32</v>
      </c>
    </row>
    <row r="66" spans="1:23">
      <c r="A66" s="149">
        <v>52</v>
      </c>
      <c r="B66" s="258" t="s">
        <v>113</v>
      </c>
      <c r="C66" s="149">
        <v>3213</v>
      </c>
      <c r="D66" s="258" t="str">
        <f t="shared" si="9"/>
        <v>Stručno usavršavanje zaposlenika</v>
      </c>
      <c r="E66" s="183" t="s">
        <v>2463</v>
      </c>
      <c r="F66" s="258" t="s">
        <v>2464</v>
      </c>
      <c r="G66" s="182">
        <v>0</v>
      </c>
      <c r="H66" s="182">
        <v>3750</v>
      </c>
      <c r="I66" s="182">
        <f t="shared" si="2"/>
        <v>3750</v>
      </c>
      <c r="K66" s="139" t="str">
        <f t="shared" si="15"/>
        <v>321</v>
      </c>
      <c r="L66" s="139" t="str">
        <f t="shared" si="16"/>
        <v>32</v>
      </c>
    </row>
    <row r="67" spans="1:23">
      <c r="A67" s="149">
        <v>52</v>
      </c>
      <c r="B67" s="258" t="s">
        <v>113</v>
      </c>
      <c r="C67" s="149">
        <v>3231</v>
      </c>
      <c r="D67" s="258" t="str">
        <f t="shared" si="9"/>
        <v>Usluge telefona, pošte i prijevoza</v>
      </c>
      <c r="E67" s="183" t="s">
        <v>2463</v>
      </c>
      <c r="F67" s="258" t="s">
        <v>2464</v>
      </c>
      <c r="G67" s="182">
        <v>0</v>
      </c>
      <c r="H67" s="182">
        <v>333550</v>
      </c>
      <c r="I67" s="182">
        <f t="shared" si="2"/>
        <v>333550</v>
      </c>
      <c r="K67" s="139" t="str">
        <f t="shared" si="15"/>
        <v>323</v>
      </c>
      <c r="L67" s="139" t="str">
        <f t="shared" si="16"/>
        <v>32</v>
      </c>
    </row>
    <row r="68" spans="1:23">
      <c r="A68" s="149">
        <v>52</v>
      </c>
      <c r="B68" s="258" t="s">
        <v>113</v>
      </c>
      <c r="C68" s="149">
        <v>3233</v>
      </c>
      <c r="D68" s="258" t="str">
        <f t="shared" si="9"/>
        <v>Usluge promidžbe i informiranja</v>
      </c>
      <c r="E68" s="183" t="s">
        <v>2463</v>
      </c>
      <c r="F68" s="258" t="s">
        <v>2464</v>
      </c>
      <c r="G68" s="182">
        <v>23725.930209596889</v>
      </c>
      <c r="H68" s="182">
        <v>97750</v>
      </c>
      <c r="I68" s="182">
        <f t="shared" si="2"/>
        <v>74024.069790403111</v>
      </c>
      <c r="K68" s="139" t="str">
        <f t="shared" si="15"/>
        <v>323</v>
      </c>
      <c r="L68" s="139" t="str">
        <f t="shared" si="16"/>
        <v>32</v>
      </c>
      <c r="P68" s="139">
        <v>3411</v>
      </c>
      <c r="Q68" s="139" t="s">
        <v>190</v>
      </c>
      <c r="S68" s="139" t="str">
        <f t="shared" si="6"/>
        <v>34</v>
      </c>
      <c r="T68" s="139" t="str">
        <f t="shared" si="7"/>
        <v>341</v>
      </c>
      <c r="V68" s="139" t="s">
        <v>801</v>
      </c>
      <c r="W68" s="139" t="s">
        <v>802</v>
      </c>
    </row>
    <row r="69" spans="1:23">
      <c r="A69" s="149">
        <v>52</v>
      </c>
      <c r="B69" s="258" t="s">
        <v>113</v>
      </c>
      <c r="C69" s="149">
        <v>3235</v>
      </c>
      <c r="D69" s="258"/>
      <c r="E69" s="183" t="s">
        <v>2463</v>
      </c>
      <c r="F69" s="258" t="s">
        <v>2464</v>
      </c>
      <c r="G69" s="182">
        <v>0</v>
      </c>
      <c r="H69" s="182">
        <v>4500</v>
      </c>
      <c r="I69" s="182">
        <f t="shared" si="2"/>
        <v>4500</v>
      </c>
    </row>
    <row r="70" spans="1:23">
      <c r="A70" s="149">
        <v>52</v>
      </c>
      <c r="B70" s="258" t="s">
        <v>113</v>
      </c>
      <c r="C70" s="149">
        <v>3236</v>
      </c>
      <c r="D70" s="258"/>
      <c r="E70" s="183" t="s">
        <v>2463</v>
      </c>
      <c r="F70" s="258" t="s">
        <v>2464</v>
      </c>
      <c r="G70" s="182">
        <v>0</v>
      </c>
      <c r="H70" s="182">
        <v>398.75</v>
      </c>
      <c r="I70" s="182">
        <f t="shared" si="2"/>
        <v>398.75</v>
      </c>
    </row>
    <row r="71" spans="1:23">
      <c r="A71" s="149">
        <v>52</v>
      </c>
      <c r="B71" s="258" t="s">
        <v>113</v>
      </c>
      <c r="C71" s="149">
        <v>3237</v>
      </c>
      <c r="D71" s="258" t="str">
        <f t="shared" si="9"/>
        <v>Intelektualne i osobne usluge</v>
      </c>
      <c r="E71" s="183" t="s">
        <v>2463</v>
      </c>
      <c r="F71" s="258" t="s">
        <v>2464</v>
      </c>
      <c r="G71" s="182">
        <v>564903.10022849729</v>
      </c>
      <c r="H71" s="182">
        <v>109625</v>
      </c>
      <c r="I71" s="182">
        <f t="shared" si="2"/>
        <v>-455278.10022849729</v>
      </c>
      <c r="K71" s="139" t="str">
        <f t="shared" si="15"/>
        <v>323</v>
      </c>
      <c r="L71" s="139" t="str">
        <f t="shared" si="16"/>
        <v>32</v>
      </c>
      <c r="P71" s="139">
        <v>3422</v>
      </c>
      <c r="Q71" s="139" t="s">
        <v>153</v>
      </c>
      <c r="S71" s="139" t="str">
        <f t="shared" si="6"/>
        <v>34</v>
      </c>
      <c r="T71" s="139" t="str">
        <f t="shared" si="7"/>
        <v>342</v>
      </c>
      <c r="V71" s="139" t="s">
        <v>803</v>
      </c>
      <c r="W71" s="139" t="s">
        <v>804</v>
      </c>
    </row>
    <row r="72" spans="1:23">
      <c r="A72" s="149">
        <v>52</v>
      </c>
      <c r="B72" s="258" t="s">
        <v>113</v>
      </c>
      <c r="C72" s="149">
        <v>3238</v>
      </c>
      <c r="D72" s="258"/>
      <c r="E72" s="183" t="s">
        <v>2463</v>
      </c>
      <c r="F72" s="258" t="s">
        <v>2464</v>
      </c>
      <c r="G72" s="182">
        <v>0</v>
      </c>
      <c r="H72" s="182">
        <v>742.89</v>
      </c>
      <c r="I72" s="182">
        <f t="shared" si="2"/>
        <v>742.89</v>
      </c>
    </row>
    <row r="73" spans="1:23">
      <c r="A73" s="149">
        <v>52</v>
      </c>
      <c r="B73" s="258" t="s">
        <v>113</v>
      </c>
      <c r="C73" s="149">
        <v>3239</v>
      </c>
      <c r="D73" s="258"/>
      <c r="E73" s="183" t="s">
        <v>2463</v>
      </c>
      <c r="F73" s="258" t="s">
        <v>2464</v>
      </c>
      <c r="G73" s="182">
        <v>0</v>
      </c>
      <c r="H73" s="182">
        <v>25928.42</v>
      </c>
      <c r="I73" s="182">
        <f t="shared" si="2"/>
        <v>25928.42</v>
      </c>
    </row>
    <row r="74" spans="1:23">
      <c r="A74" s="149">
        <v>52</v>
      </c>
      <c r="B74" s="258" t="s">
        <v>113</v>
      </c>
      <c r="C74" s="149">
        <v>3293</v>
      </c>
      <c r="D74" s="258"/>
      <c r="E74" s="183" t="s">
        <v>2463</v>
      </c>
      <c r="F74" s="258" t="s">
        <v>2464</v>
      </c>
      <c r="G74" s="182">
        <v>0</v>
      </c>
      <c r="H74" s="182">
        <v>2350</v>
      </c>
      <c r="I74" s="182">
        <f t="shared" si="2"/>
        <v>2350</v>
      </c>
    </row>
    <row r="75" spans="1:23">
      <c r="A75" s="149">
        <v>52</v>
      </c>
      <c r="B75" s="258" t="s">
        <v>113</v>
      </c>
      <c r="C75" s="149">
        <v>3431</v>
      </c>
      <c r="D75" s="258"/>
      <c r="E75" s="183" t="s">
        <v>2463</v>
      </c>
      <c r="F75" s="258" t="s">
        <v>2464</v>
      </c>
      <c r="G75" s="182">
        <v>0</v>
      </c>
      <c r="H75" s="182">
        <v>85.25</v>
      </c>
      <c r="I75" s="182">
        <f t="shared" si="2"/>
        <v>85.25</v>
      </c>
    </row>
    <row r="76" spans="1:23">
      <c r="A76" s="149">
        <v>52</v>
      </c>
      <c r="B76" s="258" t="s">
        <v>113</v>
      </c>
      <c r="C76" s="149">
        <v>4221</v>
      </c>
      <c r="D76" s="258"/>
      <c r="E76" s="183" t="s">
        <v>2463</v>
      </c>
      <c r="F76" s="258" t="s">
        <v>2464</v>
      </c>
      <c r="G76" s="182">
        <v>0</v>
      </c>
      <c r="H76" s="182">
        <v>8119</v>
      </c>
      <c r="I76" s="182">
        <f t="shared" si="2"/>
        <v>8119</v>
      </c>
    </row>
    <row r="77" spans="1:23">
      <c r="A77" s="149">
        <v>52</v>
      </c>
      <c r="B77" s="258" t="str">
        <f t="shared" si="14"/>
        <v>Ostale pomoći</v>
      </c>
      <c r="C77" s="149">
        <v>3111</v>
      </c>
      <c r="D77" s="258" t="str">
        <f t="shared" si="9"/>
        <v>Plaće za redovan rad</v>
      </c>
      <c r="E77" s="183" t="s">
        <v>2461</v>
      </c>
      <c r="F77" s="258" t="str">
        <f>IFERROR(VLOOKUP(E77,$V$7:$W$1103,2,FALSE),"")</f>
        <v>STREAM Interreg Italija Hrvatska</v>
      </c>
      <c r="G77" s="182">
        <v>529981.70673063339</v>
      </c>
      <c r="H77" s="182">
        <v>302230.88</v>
      </c>
      <c r="I77" s="182">
        <f t="shared" si="2"/>
        <v>-227750.82673063339</v>
      </c>
      <c r="K77" s="139" t="str">
        <f t="shared" si="15"/>
        <v>311</v>
      </c>
      <c r="L77" s="139" t="str">
        <f t="shared" si="16"/>
        <v>31</v>
      </c>
      <c r="P77" s="139">
        <v>3427</v>
      </c>
      <c r="Q77" s="139" t="s">
        <v>192</v>
      </c>
      <c r="S77" s="139" t="str">
        <f t="shared" si="6"/>
        <v>34</v>
      </c>
      <c r="T77" s="139" t="str">
        <f t="shared" si="7"/>
        <v>342</v>
      </c>
      <c r="V77" s="139" t="s">
        <v>1392</v>
      </c>
      <c r="W77" s="139" t="s">
        <v>1393</v>
      </c>
    </row>
    <row r="78" spans="1:23">
      <c r="A78" s="149">
        <v>52</v>
      </c>
      <c r="B78" s="258" t="str">
        <f t="shared" si="14"/>
        <v>Ostale pomoći</v>
      </c>
      <c r="C78" s="149">
        <v>3121</v>
      </c>
      <c r="D78" s="258"/>
      <c r="E78" s="183" t="s">
        <v>2461</v>
      </c>
      <c r="F78" s="258" t="str">
        <f t="shared" ref="F78:F91" si="17">IFERROR(VLOOKUP(E78,$V$7:$W$1103,2,FALSE),"")</f>
        <v>STREAM Interreg Italija Hrvatska</v>
      </c>
      <c r="G78" s="182">
        <v>0</v>
      </c>
      <c r="H78" s="182">
        <v>4500</v>
      </c>
      <c r="I78" s="182">
        <f t="shared" si="2"/>
        <v>4500</v>
      </c>
    </row>
    <row r="79" spans="1:23">
      <c r="A79" s="149">
        <v>52</v>
      </c>
      <c r="B79" s="258" t="str">
        <f t="shared" si="14"/>
        <v>Ostale pomoći</v>
      </c>
      <c r="C79" s="149">
        <v>3132</v>
      </c>
      <c r="D79" s="258"/>
      <c r="E79" s="183" t="s">
        <v>2461</v>
      </c>
      <c r="F79" s="258" t="str">
        <f t="shared" si="17"/>
        <v>STREAM Interreg Italija Hrvatska</v>
      </c>
      <c r="G79" s="182">
        <v>0</v>
      </c>
      <c r="H79" s="182">
        <v>49868.1</v>
      </c>
      <c r="I79" s="182">
        <f t="shared" si="2"/>
        <v>49868.1</v>
      </c>
    </row>
    <row r="80" spans="1:23">
      <c r="A80" s="149">
        <v>52</v>
      </c>
      <c r="B80" s="258" t="str">
        <f t="shared" si="14"/>
        <v>Ostale pomoći</v>
      </c>
      <c r="C80" s="149">
        <v>3211</v>
      </c>
      <c r="D80" s="258" t="str">
        <f t="shared" si="9"/>
        <v>Službena putovanja</v>
      </c>
      <c r="E80" s="183" t="s">
        <v>2461</v>
      </c>
      <c r="F80" s="258" t="str">
        <f t="shared" si="17"/>
        <v>STREAM Interreg Italija Hrvatska</v>
      </c>
      <c r="G80" s="182">
        <v>206754.4513361073</v>
      </c>
      <c r="H80" s="182">
        <v>162520.96000000002</v>
      </c>
      <c r="I80" s="182">
        <f t="shared" si="2"/>
        <v>-44233.491336107283</v>
      </c>
      <c r="K80" s="139" t="str">
        <f t="shared" si="15"/>
        <v>321</v>
      </c>
      <c r="L80" s="139" t="str">
        <f t="shared" si="16"/>
        <v>32</v>
      </c>
      <c r="P80" s="139">
        <v>3431</v>
      </c>
      <c r="Q80" s="139" t="s">
        <v>86</v>
      </c>
      <c r="S80" s="139" t="str">
        <f t="shared" si="6"/>
        <v>34</v>
      </c>
      <c r="T80" s="139" t="str">
        <f t="shared" si="7"/>
        <v>343</v>
      </c>
      <c r="V80" s="139" t="s">
        <v>1394</v>
      </c>
      <c r="W80" s="139" t="s">
        <v>1395</v>
      </c>
    </row>
    <row r="81" spans="1:23">
      <c r="A81" s="149">
        <v>52</v>
      </c>
      <c r="B81" s="258" t="str">
        <f t="shared" si="14"/>
        <v>Ostale pomoći</v>
      </c>
      <c r="C81" s="149">
        <v>3212</v>
      </c>
      <c r="D81" s="258"/>
      <c r="E81" s="183" t="s">
        <v>2461</v>
      </c>
      <c r="F81" s="258" t="str">
        <f t="shared" si="17"/>
        <v>STREAM Interreg Italija Hrvatska</v>
      </c>
      <c r="G81" s="182">
        <v>0</v>
      </c>
      <c r="H81" s="182">
        <v>1429</v>
      </c>
      <c r="I81" s="182">
        <f t="shared" si="2"/>
        <v>1429</v>
      </c>
    </row>
    <row r="82" spans="1:23">
      <c r="A82" s="149">
        <v>52</v>
      </c>
      <c r="B82" s="258" t="str">
        <f t="shared" si="14"/>
        <v>Ostale pomoći</v>
      </c>
      <c r="C82" s="149">
        <v>3213</v>
      </c>
      <c r="D82" s="258"/>
      <c r="E82" s="183" t="s">
        <v>2461</v>
      </c>
      <c r="F82" s="258" t="str">
        <f t="shared" si="17"/>
        <v>STREAM Interreg Italija Hrvatska</v>
      </c>
      <c r="G82" s="182">
        <v>0</v>
      </c>
      <c r="H82" s="182">
        <v>28755.759999999998</v>
      </c>
      <c r="I82" s="182">
        <f t="shared" si="2"/>
        <v>28755.759999999998</v>
      </c>
    </row>
    <row r="83" spans="1:23">
      <c r="A83" s="149">
        <v>52</v>
      </c>
      <c r="B83" s="258" t="str">
        <f t="shared" si="14"/>
        <v>Ostale pomoći</v>
      </c>
      <c r="C83" s="149">
        <v>3221</v>
      </c>
      <c r="D83" s="258"/>
      <c r="E83" s="183" t="s">
        <v>2461</v>
      </c>
      <c r="F83" s="258" t="str">
        <f t="shared" si="17"/>
        <v>STREAM Interreg Italija Hrvatska</v>
      </c>
      <c r="G83" s="182">
        <v>0</v>
      </c>
      <c r="H83" s="182">
        <v>550.24</v>
      </c>
      <c r="I83" s="182">
        <f t="shared" si="2"/>
        <v>550.24</v>
      </c>
    </row>
    <row r="84" spans="1:23">
      <c r="A84" s="149">
        <v>52</v>
      </c>
      <c r="B84" s="258" t="str">
        <f t="shared" si="14"/>
        <v>Ostale pomoći</v>
      </c>
      <c r="C84" s="149">
        <v>3233</v>
      </c>
      <c r="D84" s="258" t="str">
        <f t="shared" si="9"/>
        <v>Usluge promidžbe i informiranja</v>
      </c>
      <c r="E84" s="183" t="s">
        <v>2461</v>
      </c>
      <c r="F84" s="258" t="str">
        <f t="shared" si="17"/>
        <v>STREAM Interreg Italija Hrvatska</v>
      </c>
      <c r="G84" s="182">
        <v>16947.086175090761</v>
      </c>
      <c r="H84" s="182">
        <v>0</v>
      </c>
      <c r="I84" s="182">
        <f t="shared" si="2"/>
        <v>-16947.086175090761</v>
      </c>
      <c r="K84" s="139" t="str">
        <f t="shared" si="15"/>
        <v>323</v>
      </c>
      <c r="L84" s="139" t="str">
        <f t="shared" si="16"/>
        <v>32</v>
      </c>
      <c r="P84" s="139">
        <v>3432</v>
      </c>
      <c r="Q84" s="139" t="s">
        <v>102</v>
      </c>
      <c r="S84" s="139" t="str">
        <f t="shared" si="6"/>
        <v>34</v>
      </c>
      <c r="T84" s="139" t="str">
        <f t="shared" si="7"/>
        <v>343</v>
      </c>
      <c r="V84" s="139" t="s">
        <v>1396</v>
      </c>
      <c r="W84" s="139" t="s">
        <v>1397</v>
      </c>
    </row>
    <row r="85" spans="1:23">
      <c r="A85" s="149">
        <v>52</v>
      </c>
      <c r="B85" s="258" t="str">
        <f t="shared" si="14"/>
        <v>Ostale pomoći</v>
      </c>
      <c r="C85" s="149">
        <v>3237</v>
      </c>
      <c r="D85" s="258" t="str">
        <f t="shared" si="9"/>
        <v>Intelektualne i osobne usluge</v>
      </c>
      <c r="E85" s="183" t="s">
        <v>2461</v>
      </c>
      <c r="F85" s="258" t="str">
        <f t="shared" si="17"/>
        <v>STREAM Interreg Italija Hrvatska</v>
      </c>
      <c r="G85" s="182">
        <v>1525237.7557581686</v>
      </c>
      <c r="H85" s="182">
        <v>581250</v>
      </c>
      <c r="I85" s="182">
        <f t="shared" si="2"/>
        <v>-943987.75575816864</v>
      </c>
      <c r="K85" s="139" t="str">
        <f t="shared" si="15"/>
        <v>323</v>
      </c>
      <c r="L85" s="139" t="str">
        <f t="shared" si="16"/>
        <v>32</v>
      </c>
      <c r="P85" s="139">
        <v>3433</v>
      </c>
      <c r="Q85" s="139" t="s">
        <v>140</v>
      </c>
      <c r="S85" s="139" t="str">
        <f t="shared" si="6"/>
        <v>34</v>
      </c>
      <c r="T85" s="139" t="str">
        <f t="shared" si="7"/>
        <v>343</v>
      </c>
      <c r="V85" s="139" t="s">
        <v>1398</v>
      </c>
      <c r="W85" s="139" t="s">
        <v>1399</v>
      </c>
    </row>
    <row r="86" spans="1:23">
      <c r="A86" s="149">
        <v>52</v>
      </c>
      <c r="B86" s="258" t="str">
        <f t="shared" si="14"/>
        <v>Ostale pomoći</v>
      </c>
      <c r="C86" s="149">
        <v>3239</v>
      </c>
      <c r="D86" s="258"/>
      <c r="E86" s="183" t="s">
        <v>2461</v>
      </c>
      <c r="F86" s="258" t="str">
        <f t="shared" si="17"/>
        <v>STREAM Interreg Italija Hrvatska</v>
      </c>
      <c r="G86" s="182">
        <v>0</v>
      </c>
      <c r="H86" s="182">
        <v>340.73</v>
      </c>
      <c r="I86" s="182">
        <f t="shared" si="2"/>
        <v>340.73</v>
      </c>
    </row>
    <row r="87" spans="1:23">
      <c r="A87" s="149">
        <v>52</v>
      </c>
      <c r="B87" s="258" t="str">
        <f t="shared" si="14"/>
        <v>Ostale pomoći</v>
      </c>
      <c r="C87" s="149" t="s">
        <v>3510</v>
      </c>
      <c r="D87" s="258"/>
      <c r="E87" s="183" t="s">
        <v>2461</v>
      </c>
      <c r="F87" s="258" t="str">
        <f t="shared" si="17"/>
        <v>STREAM Interreg Italija Hrvatska</v>
      </c>
      <c r="G87" s="182">
        <v>0</v>
      </c>
      <c r="H87" s="182">
        <v>2880</v>
      </c>
      <c r="I87" s="182">
        <f t="shared" si="2"/>
        <v>2880</v>
      </c>
    </row>
    <row r="88" spans="1:23">
      <c r="A88" s="149">
        <v>52</v>
      </c>
      <c r="B88" s="258" t="str">
        <f t="shared" si="14"/>
        <v>Ostale pomoći</v>
      </c>
      <c r="C88" s="149" t="s">
        <v>3495</v>
      </c>
      <c r="D88" s="258"/>
      <c r="E88" s="183" t="s">
        <v>2461</v>
      </c>
      <c r="F88" s="258" t="str">
        <f t="shared" si="17"/>
        <v>STREAM Interreg Italija Hrvatska</v>
      </c>
      <c r="G88" s="182">
        <v>0</v>
      </c>
      <c r="H88" s="182">
        <v>1678</v>
      </c>
      <c r="I88" s="182">
        <f t="shared" si="2"/>
        <v>1678</v>
      </c>
    </row>
    <row r="89" spans="1:23">
      <c r="A89" s="149">
        <v>52</v>
      </c>
      <c r="B89" s="258" t="str">
        <f t="shared" si="14"/>
        <v>Ostale pomoći</v>
      </c>
      <c r="C89" s="149" t="s">
        <v>3497</v>
      </c>
      <c r="D89" s="258"/>
      <c r="E89" s="183" t="s">
        <v>2461</v>
      </c>
      <c r="F89" s="258" t="str">
        <f t="shared" si="17"/>
        <v>STREAM Interreg Italija Hrvatska</v>
      </c>
      <c r="G89" s="182">
        <v>0</v>
      </c>
      <c r="H89" s="182">
        <v>336.75</v>
      </c>
      <c r="I89" s="182">
        <f t="shared" si="2"/>
        <v>336.75</v>
      </c>
    </row>
    <row r="90" spans="1:23">
      <c r="A90" s="149">
        <v>52</v>
      </c>
      <c r="B90" s="258" t="str">
        <f t="shared" si="14"/>
        <v>Ostale pomoći</v>
      </c>
      <c r="C90" s="149" t="s">
        <v>3511</v>
      </c>
      <c r="D90" s="258"/>
      <c r="E90" s="183" t="s">
        <v>2461</v>
      </c>
      <c r="F90" s="258" t="str">
        <f t="shared" si="17"/>
        <v>STREAM Interreg Italija Hrvatska</v>
      </c>
      <c r="G90" s="182">
        <v>0</v>
      </c>
      <c r="H90" s="182">
        <v>106238</v>
      </c>
      <c r="I90" s="182">
        <f t="shared" si="2"/>
        <v>106238</v>
      </c>
    </row>
    <row r="91" spans="1:23">
      <c r="A91" s="149">
        <v>52</v>
      </c>
      <c r="B91" s="258" t="str">
        <f t="shared" si="14"/>
        <v>Ostale pomoći</v>
      </c>
      <c r="C91" s="149" t="s">
        <v>3502</v>
      </c>
      <c r="D91" s="258"/>
      <c r="E91" s="183" t="s">
        <v>2461</v>
      </c>
      <c r="F91" s="258" t="str">
        <f t="shared" si="17"/>
        <v>STREAM Interreg Italija Hrvatska</v>
      </c>
      <c r="G91" s="182">
        <v>0</v>
      </c>
      <c r="H91" s="182">
        <v>32000</v>
      </c>
      <c r="I91" s="182">
        <f>+H91-G91</f>
        <v>32000</v>
      </c>
    </row>
    <row r="92" spans="1:23">
      <c r="A92" s="149">
        <v>51</v>
      </c>
      <c r="B92" s="258" t="str">
        <f t="shared" si="14"/>
        <v>Pomoći EU</v>
      </c>
      <c r="C92" s="149">
        <v>3111</v>
      </c>
      <c r="D92" s="258" t="str">
        <f t="shared" si="9"/>
        <v>Plaće za redovan rad</v>
      </c>
      <c r="E92" s="183" t="s">
        <v>1500</v>
      </c>
      <c r="F92" s="258" t="str">
        <f>IFERROR(VLOOKUP(E92,$V$7:$W$1103,2,FALSE),"")</f>
        <v>ERASMUS + LA GUIDE</v>
      </c>
      <c r="G92" s="182">
        <v>18952.796548314607</v>
      </c>
      <c r="H92" s="182">
        <v>0</v>
      </c>
      <c r="I92" s="182">
        <f t="shared" si="2"/>
        <v>-18952.796548314607</v>
      </c>
      <c r="K92" s="139" t="str">
        <f t="shared" si="15"/>
        <v>311</v>
      </c>
      <c r="L92" s="139" t="str">
        <f t="shared" si="16"/>
        <v>31</v>
      </c>
      <c r="P92" s="139">
        <v>3511</v>
      </c>
      <c r="Q92" s="139" t="s">
        <v>183</v>
      </c>
      <c r="S92" s="139" t="str">
        <f t="shared" si="6"/>
        <v>35</v>
      </c>
      <c r="T92" s="139" t="str">
        <f t="shared" si="7"/>
        <v>351</v>
      </c>
      <c r="V92" s="139" t="s">
        <v>1402</v>
      </c>
      <c r="W92" s="139" t="s">
        <v>1403</v>
      </c>
    </row>
    <row r="93" spans="1:23">
      <c r="A93" s="149">
        <v>51</v>
      </c>
      <c r="B93" s="258" t="str">
        <f t="shared" si="14"/>
        <v>Pomoći EU</v>
      </c>
      <c r="C93" s="149">
        <v>3132</v>
      </c>
      <c r="D93" s="258" t="str">
        <f t="shared" si="9"/>
        <v/>
      </c>
      <c r="E93" s="183" t="s">
        <v>1500</v>
      </c>
      <c r="F93" s="258" t="str">
        <f>IFERROR(VLOOKUP(E93,$V$7:$W$1103,2,FALSE),"")</f>
        <v>ERASMUS + LA GUIDE</v>
      </c>
      <c r="G93" s="182">
        <v>3127.0596314606742</v>
      </c>
      <c r="H93" s="182">
        <v>0</v>
      </c>
      <c r="I93" s="182">
        <f t="shared" si="2"/>
        <v>-3127.0596314606742</v>
      </c>
      <c r="K93" s="139" t="str">
        <f t="shared" si="15"/>
        <v>313</v>
      </c>
      <c r="L93" s="139" t="str">
        <f t="shared" si="16"/>
        <v>31</v>
      </c>
      <c r="P93" s="139">
        <v>3512</v>
      </c>
      <c r="Q93" s="139" t="s">
        <v>185</v>
      </c>
      <c r="S93" s="139" t="str">
        <f t="shared" si="6"/>
        <v>35</v>
      </c>
      <c r="T93" s="139" t="str">
        <f t="shared" si="7"/>
        <v>351</v>
      </c>
      <c r="V93" s="139" t="s">
        <v>1404</v>
      </c>
      <c r="W93" s="139" t="s">
        <v>1405</v>
      </c>
    </row>
    <row r="94" spans="1:23">
      <c r="A94" s="149">
        <v>51</v>
      </c>
      <c r="B94" s="258" t="str">
        <f t="shared" si="14"/>
        <v>Pomoći EU</v>
      </c>
      <c r="C94" s="149">
        <v>3211</v>
      </c>
      <c r="D94" s="258" t="str">
        <f t="shared" si="9"/>
        <v>Službena putovanja</v>
      </c>
      <c r="E94" s="183" t="s">
        <v>1500</v>
      </c>
      <c r="F94" s="258" t="str">
        <f>IFERROR(VLOOKUP(E94,$V$7:$W$1103,2,FALSE),"")</f>
        <v>ERASMUS + LA GUIDE</v>
      </c>
      <c r="G94" s="182">
        <v>5951.2112359550556</v>
      </c>
      <c r="H94" s="182">
        <v>13246</v>
      </c>
      <c r="I94" s="182">
        <f t="shared" si="2"/>
        <v>7294.7887640449444</v>
      </c>
      <c r="K94" s="139" t="str">
        <f t="shared" si="15"/>
        <v>321</v>
      </c>
      <c r="L94" s="139" t="str">
        <f t="shared" si="16"/>
        <v>32</v>
      </c>
      <c r="P94" s="139">
        <v>3522</v>
      </c>
      <c r="Q94" s="139" t="s">
        <v>259</v>
      </c>
      <c r="S94" s="139" t="str">
        <f t="shared" si="6"/>
        <v>35</v>
      </c>
      <c r="T94" s="139" t="str">
        <f t="shared" si="7"/>
        <v>352</v>
      </c>
      <c r="V94" s="139" t="s">
        <v>1406</v>
      </c>
      <c r="W94" s="139" t="s">
        <v>1407</v>
      </c>
    </row>
    <row r="95" spans="1:23">
      <c r="A95" s="149">
        <v>51</v>
      </c>
      <c r="B95" s="258" t="str">
        <f t="shared" si="14"/>
        <v>Pomoći EU</v>
      </c>
      <c r="C95" s="149">
        <v>3237</v>
      </c>
      <c r="D95" s="258" t="str">
        <f t="shared" si="9"/>
        <v>Intelektualne i osobne usluge</v>
      </c>
      <c r="E95" s="183" t="s">
        <v>1500</v>
      </c>
      <c r="F95" s="258" t="str">
        <f>IFERROR(VLOOKUP(E95,$V$7:$W$1103,2,FALSE),"")</f>
        <v>ERASMUS + LA GUIDE</v>
      </c>
      <c r="G95" s="182">
        <v>10349.932584269663</v>
      </c>
      <c r="H95" s="182">
        <v>0</v>
      </c>
      <c r="I95" s="182">
        <f t="shared" si="2"/>
        <v>-10349.932584269663</v>
      </c>
      <c r="K95" s="139" t="str">
        <f t="shared" si="15"/>
        <v>323</v>
      </c>
      <c r="L95" s="139" t="str">
        <f t="shared" si="16"/>
        <v>32</v>
      </c>
      <c r="P95" s="139">
        <v>3531</v>
      </c>
      <c r="Q95" s="139" t="s">
        <v>137</v>
      </c>
      <c r="S95" s="139" t="str">
        <f t="shared" si="6"/>
        <v>35</v>
      </c>
      <c r="T95" s="139" t="str">
        <f t="shared" si="7"/>
        <v>353</v>
      </c>
      <c r="V95" s="139" t="s">
        <v>1408</v>
      </c>
      <c r="W95" s="139" t="s">
        <v>1409</v>
      </c>
    </row>
    <row r="96" spans="1:23">
      <c r="A96" s="149">
        <v>51</v>
      </c>
      <c r="B96" s="258" t="str">
        <f t="shared" si="14"/>
        <v>Pomoći EU</v>
      </c>
      <c r="C96" s="149">
        <v>3293</v>
      </c>
      <c r="D96" s="258" t="str">
        <f t="shared" si="9"/>
        <v xml:space="preserve">  Reprezentacija</v>
      </c>
      <c r="E96" s="183" t="s">
        <v>1500</v>
      </c>
      <c r="F96" s="258" t="str">
        <f t="shared" ref="F96:F97" si="18">IFERROR(VLOOKUP(E96,$V$7:$W$1103,2,FALSE),"")</f>
        <v>ERASMUS + LA GUIDE</v>
      </c>
      <c r="G96" s="182">
        <v>0</v>
      </c>
      <c r="H96" s="182">
        <v>750</v>
      </c>
      <c r="I96" s="182">
        <f t="shared" si="2"/>
        <v>750</v>
      </c>
      <c r="K96" s="139" t="str">
        <f t="shared" si="15"/>
        <v>329</v>
      </c>
      <c r="L96" s="139" t="str">
        <f t="shared" si="16"/>
        <v>32</v>
      </c>
    </row>
    <row r="97" spans="1:23">
      <c r="A97" s="149">
        <v>51</v>
      </c>
      <c r="B97" s="258" t="str">
        <f t="shared" si="14"/>
        <v>Pomoći EU</v>
      </c>
      <c r="C97" s="149">
        <v>3431</v>
      </c>
      <c r="D97" s="258" t="str">
        <f t="shared" si="9"/>
        <v>Bankarske usluge i usluge platnog prometa</v>
      </c>
      <c r="E97" s="183" t="s">
        <v>1500</v>
      </c>
      <c r="F97" s="258" t="str">
        <f t="shared" si="18"/>
        <v>ERASMUS + LA GUIDE</v>
      </c>
      <c r="G97" s="182">
        <v>0</v>
      </c>
      <c r="H97" s="182">
        <v>10</v>
      </c>
      <c r="I97" s="182">
        <f t="shared" si="2"/>
        <v>10</v>
      </c>
      <c r="K97" s="139" t="str">
        <f t="shared" si="15"/>
        <v>343</v>
      </c>
      <c r="L97" s="139" t="str">
        <f t="shared" si="16"/>
        <v>34</v>
      </c>
    </row>
    <row r="98" spans="1:23">
      <c r="A98" s="149">
        <v>52</v>
      </c>
      <c r="B98" s="258" t="str">
        <f t="shared" si="14"/>
        <v>Ostale pomoći</v>
      </c>
      <c r="C98" s="149">
        <v>3111</v>
      </c>
      <c r="D98" s="258" t="str">
        <f t="shared" si="9"/>
        <v>Plaće za redovan rad</v>
      </c>
      <c r="E98" s="183" t="s">
        <v>2459</v>
      </c>
      <c r="F98" s="258" t="str">
        <f>IFERROR(VLOOKUP(E98,$V$7:$W$1103,2,FALSE),"")</f>
        <v>BUDI SPREMAN I KOMPETENTAN</v>
      </c>
      <c r="G98" s="182">
        <v>141400.90626517078</v>
      </c>
      <c r="H98" s="182">
        <v>215999.1</v>
      </c>
      <c r="I98" s="182">
        <f t="shared" si="2"/>
        <v>74598.193734829227</v>
      </c>
      <c r="K98" s="139" t="str">
        <f t="shared" si="15"/>
        <v>311</v>
      </c>
      <c r="L98" s="139" t="str">
        <f t="shared" si="16"/>
        <v>31</v>
      </c>
      <c r="P98" s="139">
        <v>3621</v>
      </c>
      <c r="Q98" s="139" t="s">
        <v>141</v>
      </c>
      <c r="S98" s="139" t="str">
        <f t="shared" si="6"/>
        <v>36</v>
      </c>
      <c r="T98" s="139" t="str">
        <f t="shared" si="7"/>
        <v>362</v>
      </c>
      <c r="V98" s="139" t="s">
        <v>1412</v>
      </c>
      <c r="W98" s="139" t="s">
        <v>1413</v>
      </c>
    </row>
    <row r="99" spans="1:23">
      <c r="A99" s="149">
        <v>52</v>
      </c>
      <c r="B99" s="258" t="str">
        <f t="shared" si="14"/>
        <v>Ostale pomoći</v>
      </c>
      <c r="C99" s="149">
        <v>3121</v>
      </c>
      <c r="D99" s="258" t="str">
        <f t="shared" si="9"/>
        <v>Ostali rashodi za zaposlene</v>
      </c>
      <c r="E99" s="183" t="s">
        <v>2459</v>
      </c>
      <c r="F99" s="258" t="str">
        <f t="shared" ref="F99:F108" si="19">IFERROR(VLOOKUP(E99,$V$7:$W$1103,2,FALSE),"")</f>
        <v>BUDI SPREMAN I KOMPETENTAN</v>
      </c>
      <c r="G99" s="182">
        <v>0</v>
      </c>
      <c r="H99" s="182">
        <v>3000</v>
      </c>
      <c r="I99" s="182">
        <f t="shared" si="2"/>
        <v>3000</v>
      </c>
      <c r="K99" s="139" t="str">
        <f t="shared" si="15"/>
        <v>312</v>
      </c>
      <c r="L99" s="139" t="str">
        <f t="shared" si="16"/>
        <v>31</v>
      </c>
    </row>
    <row r="100" spans="1:23">
      <c r="A100" s="149">
        <v>52</v>
      </c>
      <c r="B100" s="258" t="str">
        <f t="shared" si="14"/>
        <v>Ostale pomoći</v>
      </c>
      <c r="C100" s="149">
        <v>3132</v>
      </c>
      <c r="D100" s="258" t="str">
        <f t="shared" si="9"/>
        <v/>
      </c>
      <c r="E100" s="183" t="s">
        <v>2459</v>
      </c>
      <c r="F100" s="258" t="str">
        <f t="shared" si="19"/>
        <v>BUDI SPREMAN I KOMPETENTAN</v>
      </c>
      <c r="G100" s="182">
        <v>23331.064798281404</v>
      </c>
      <c r="H100" s="182">
        <v>35639.85</v>
      </c>
      <c r="I100" s="182">
        <f t="shared" si="2"/>
        <v>12308.785201718594</v>
      </c>
      <c r="K100" s="139" t="str">
        <f t="shared" si="15"/>
        <v>313</v>
      </c>
      <c r="L100" s="139" t="str">
        <f t="shared" si="16"/>
        <v>31</v>
      </c>
      <c r="P100" s="139">
        <v>3631</v>
      </c>
      <c r="Q100" s="139" t="s">
        <v>182</v>
      </c>
      <c r="S100" s="139" t="str">
        <f t="shared" si="6"/>
        <v>36</v>
      </c>
      <c r="T100" s="139" t="str">
        <f t="shared" si="7"/>
        <v>363</v>
      </c>
      <c r="V100" s="139" t="s">
        <v>1414</v>
      </c>
      <c r="W100" s="139" t="s">
        <v>1415</v>
      </c>
    </row>
    <row r="101" spans="1:23">
      <c r="A101" s="149">
        <v>52</v>
      </c>
      <c r="B101" s="258" t="str">
        <f t="shared" si="14"/>
        <v>Ostale pomoći</v>
      </c>
      <c r="C101" s="149">
        <v>3211</v>
      </c>
      <c r="D101" s="258" t="str">
        <f t="shared" si="9"/>
        <v>Službena putovanja</v>
      </c>
      <c r="E101" s="183" t="s">
        <v>2459</v>
      </c>
      <c r="F101" s="258" t="str">
        <f t="shared" si="19"/>
        <v>BUDI SPREMAN I KOMPETENTAN</v>
      </c>
      <c r="G101" s="182">
        <v>19941.081024172141</v>
      </c>
      <c r="H101" s="182">
        <v>11056.4</v>
      </c>
      <c r="I101" s="182">
        <f t="shared" si="2"/>
        <v>-8884.6810241721414</v>
      </c>
      <c r="K101" s="139" t="str">
        <f t="shared" si="15"/>
        <v>321</v>
      </c>
      <c r="L101" s="139" t="str">
        <f t="shared" si="16"/>
        <v>32</v>
      </c>
      <c r="P101" s="139">
        <v>3632</v>
      </c>
      <c r="Q101" s="139" t="s">
        <v>260</v>
      </c>
      <c r="S101" s="139" t="str">
        <f t="shared" si="6"/>
        <v>36</v>
      </c>
      <c r="T101" s="139" t="str">
        <f t="shared" si="7"/>
        <v>363</v>
      </c>
      <c r="V101" s="139" t="s">
        <v>1416</v>
      </c>
      <c r="W101" s="139" t="s">
        <v>1417</v>
      </c>
    </row>
    <row r="102" spans="1:23">
      <c r="A102" s="149">
        <v>52</v>
      </c>
      <c r="B102" s="258" t="str">
        <f t="shared" si="14"/>
        <v>Ostale pomoći</v>
      </c>
      <c r="C102" s="149">
        <v>3212</v>
      </c>
      <c r="D102" s="258" t="str">
        <f t="shared" si="9"/>
        <v>Naknade za prijevoz, za rad na terenu i odvojeni život</v>
      </c>
      <c r="E102" s="183" t="s">
        <v>2459</v>
      </c>
      <c r="F102" s="258" t="str">
        <f t="shared" si="19"/>
        <v>BUDI SPREMAN I KOMPETENTAN</v>
      </c>
      <c r="G102" s="182">
        <v>1694.7094354820515</v>
      </c>
      <c r="H102" s="182">
        <v>5200</v>
      </c>
      <c r="I102" s="182">
        <f t="shared" si="2"/>
        <v>3505.2905645179485</v>
      </c>
      <c r="K102" s="139" t="str">
        <f t="shared" si="15"/>
        <v>321</v>
      </c>
      <c r="L102" s="139" t="str">
        <f t="shared" si="16"/>
        <v>32</v>
      </c>
      <c r="P102" s="139">
        <v>3661</v>
      </c>
      <c r="Q102" s="139" t="s">
        <v>103</v>
      </c>
      <c r="S102" s="139" t="str">
        <f t="shared" si="6"/>
        <v>36</v>
      </c>
      <c r="T102" s="139" t="str">
        <f t="shared" si="7"/>
        <v>366</v>
      </c>
      <c r="V102" s="139" t="s">
        <v>1418</v>
      </c>
      <c r="W102" s="139" t="s">
        <v>1419</v>
      </c>
    </row>
    <row r="103" spans="1:23">
      <c r="A103" s="149">
        <v>52</v>
      </c>
      <c r="B103" s="258" t="str">
        <f t="shared" si="14"/>
        <v>Ostale pomoći</v>
      </c>
      <c r="C103" s="149">
        <v>3214</v>
      </c>
      <c r="D103" s="258"/>
      <c r="E103" s="183" t="s">
        <v>2459</v>
      </c>
      <c r="F103" s="258" t="str">
        <f t="shared" si="19"/>
        <v>BUDI SPREMAN I KOMPETENTAN</v>
      </c>
      <c r="G103" s="182">
        <v>0</v>
      </c>
      <c r="H103" s="182">
        <v>162</v>
      </c>
      <c r="I103" s="182">
        <f t="shared" si="2"/>
        <v>162</v>
      </c>
    </row>
    <row r="104" spans="1:23">
      <c r="A104" s="149">
        <v>52</v>
      </c>
      <c r="B104" s="258" t="str">
        <f t="shared" si="14"/>
        <v>Ostale pomoći</v>
      </c>
      <c r="C104" s="149">
        <v>3221</v>
      </c>
      <c r="D104" s="258" t="str">
        <f t="shared" si="9"/>
        <v>Uredski materijal i ostali materijalni rashodi</v>
      </c>
      <c r="E104" s="183" t="s">
        <v>2459</v>
      </c>
      <c r="F104" s="258" t="str">
        <f t="shared" si="19"/>
        <v>BUDI SPREMAN I KOMPETENTAN</v>
      </c>
      <c r="G104" s="182">
        <v>85048.993019666756</v>
      </c>
      <c r="H104" s="182">
        <v>0</v>
      </c>
      <c r="I104" s="182">
        <f t="shared" si="2"/>
        <v>-85048.993019666756</v>
      </c>
      <c r="K104" s="139" t="str">
        <f t="shared" si="15"/>
        <v>322</v>
      </c>
      <c r="L104" s="139" t="str">
        <f t="shared" si="16"/>
        <v>32</v>
      </c>
      <c r="P104" s="139">
        <v>3662</v>
      </c>
      <c r="Q104" s="139" t="s">
        <v>186</v>
      </c>
      <c r="S104" s="139" t="str">
        <f t="shared" si="6"/>
        <v>36</v>
      </c>
      <c r="T104" s="139" t="str">
        <f t="shared" si="7"/>
        <v>366</v>
      </c>
      <c r="V104" s="139" t="s">
        <v>2234</v>
      </c>
      <c r="W104" s="139" t="s">
        <v>2235</v>
      </c>
    </row>
    <row r="105" spans="1:23">
      <c r="A105" s="149">
        <v>52</v>
      </c>
      <c r="B105" s="258" t="str">
        <f t="shared" si="14"/>
        <v>Ostale pomoći</v>
      </c>
      <c r="C105" s="149">
        <v>3237</v>
      </c>
      <c r="D105" s="258" t="str">
        <f t="shared" si="9"/>
        <v>Intelektualne i osobne usluge</v>
      </c>
      <c r="E105" s="183" t="s">
        <v>2459</v>
      </c>
      <c r="F105" s="258" t="str">
        <f t="shared" si="19"/>
        <v>BUDI SPREMAN I KOMPETENTAN</v>
      </c>
      <c r="G105" s="182">
        <v>404654.24545722688</v>
      </c>
      <c r="H105" s="182">
        <v>134199.99</v>
      </c>
      <c r="I105" s="182">
        <f t="shared" si="2"/>
        <v>-270454.25545722689</v>
      </c>
      <c r="K105" s="139" t="str">
        <f t="shared" si="15"/>
        <v>323</v>
      </c>
      <c r="L105" s="139" t="str">
        <f t="shared" si="16"/>
        <v>32</v>
      </c>
      <c r="P105" s="139">
        <v>3681</v>
      </c>
      <c r="Q105" s="139" t="s">
        <v>29</v>
      </c>
      <c r="S105" s="139" t="str">
        <f t="shared" si="6"/>
        <v>36</v>
      </c>
      <c r="T105" s="139" t="str">
        <f t="shared" si="7"/>
        <v>368</v>
      </c>
      <c r="V105" s="139" t="s">
        <v>2236</v>
      </c>
      <c r="W105" s="139" t="s">
        <v>2237</v>
      </c>
    </row>
    <row r="106" spans="1:23">
      <c r="A106" s="149">
        <v>52</v>
      </c>
      <c r="B106" s="258" t="str">
        <f t="shared" si="14"/>
        <v>Ostale pomoći</v>
      </c>
      <c r="C106" s="149">
        <v>3239</v>
      </c>
      <c r="D106" s="258" t="str">
        <f t="shared" si="9"/>
        <v>Ostale usluge</v>
      </c>
      <c r="E106" s="183" t="s">
        <v>2459</v>
      </c>
      <c r="F106" s="258" t="str">
        <f t="shared" si="19"/>
        <v>BUDI SPREMAN I KOMPETENTAN</v>
      </c>
      <c r="G106" s="182">
        <v>0</v>
      </c>
      <c r="H106" s="182">
        <v>16000</v>
      </c>
      <c r="I106" s="182">
        <f t="shared" si="2"/>
        <v>16000</v>
      </c>
      <c r="K106" s="139" t="str">
        <f t="shared" si="15"/>
        <v>323</v>
      </c>
      <c r="L106" s="139" t="str">
        <f t="shared" si="16"/>
        <v>32</v>
      </c>
    </row>
    <row r="107" spans="1:23">
      <c r="A107" s="149">
        <v>52</v>
      </c>
      <c r="B107" s="258" t="str">
        <f t="shared" si="14"/>
        <v>Ostale pomoći</v>
      </c>
      <c r="C107" s="149">
        <v>3293</v>
      </c>
      <c r="D107" s="258" t="str">
        <f t="shared" si="9"/>
        <v xml:space="preserve">  Reprezentacija</v>
      </c>
      <c r="E107" s="183" t="s">
        <v>2459</v>
      </c>
      <c r="F107" s="258" t="str">
        <f t="shared" si="19"/>
        <v>BUDI SPREMAN I KOMPETENTAN</v>
      </c>
      <c r="G107" s="182">
        <v>0</v>
      </c>
      <c r="H107" s="182">
        <v>2325</v>
      </c>
      <c r="I107" s="182">
        <f t="shared" si="2"/>
        <v>2325</v>
      </c>
      <c r="K107" s="139" t="str">
        <f t="shared" si="15"/>
        <v>329</v>
      </c>
      <c r="L107" s="139" t="str">
        <f t="shared" si="16"/>
        <v>32</v>
      </c>
    </row>
    <row r="108" spans="1:23">
      <c r="A108" s="149">
        <v>52</v>
      </c>
      <c r="B108" s="258" t="str">
        <f t="shared" si="14"/>
        <v>Ostale pomoći</v>
      </c>
      <c r="C108" s="149">
        <v>4221</v>
      </c>
      <c r="D108" s="258" t="str">
        <f t="shared" si="9"/>
        <v>Uredska oprema i namještaj</v>
      </c>
      <c r="E108" s="183" t="s">
        <v>2459</v>
      </c>
      <c r="F108" s="258" t="str">
        <f t="shared" si="19"/>
        <v>BUDI SPREMAN I KOMPETENTAN</v>
      </c>
      <c r="G108" s="182">
        <v>0</v>
      </c>
      <c r="H108" s="182">
        <v>31769.8</v>
      </c>
      <c r="I108" s="182">
        <f t="shared" si="2"/>
        <v>31769.8</v>
      </c>
      <c r="K108" s="139" t="str">
        <f t="shared" si="15"/>
        <v>422</v>
      </c>
      <c r="L108" s="139" t="str">
        <f t="shared" si="16"/>
        <v>42</v>
      </c>
    </row>
    <row r="109" spans="1:23">
      <c r="A109" s="149">
        <v>51</v>
      </c>
      <c r="B109" s="258" t="str">
        <f t="shared" si="14"/>
        <v>Pomoći EU</v>
      </c>
      <c r="C109" s="149">
        <v>3111</v>
      </c>
      <c r="D109" s="258" t="str">
        <f t="shared" si="9"/>
        <v>Plaće za redovan rad</v>
      </c>
      <c r="E109" s="183" t="s">
        <v>2471</v>
      </c>
      <c r="F109" s="258" t="str">
        <f>IFERROR(VLOOKUP(E109,$V$7:$W$1103,2,FALSE),"")</f>
        <v>2CODE Intrr.  CBC Hrvatska -BIH i  - Crna gora</v>
      </c>
      <c r="G109" s="182">
        <v>20354.721435316336</v>
      </c>
      <c r="H109" s="182">
        <v>0</v>
      </c>
      <c r="I109" s="182">
        <f t="shared" si="2"/>
        <v>-20354.721435316336</v>
      </c>
      <c r="K109" s="139" t="str">
        <f t="shared" si="15"/>
        <v>311</v>
      </c>
      <c r="L109" s="139" t="str">
        <f t="shared" si="16"/>
        <v>31</v>
      </c>
      <c r="P109" s="139">
        <v>3691</v>
      </c>
      <c r="Q109" s="139" t="s">
        <v>108</v>
      </c>
      <c r="S109" s="139" t="str">
        <f t="shared" si="6"/>
        <v>36</v>
      </c>
      <c r="T109" s="139" t="str">
        <f t="shared" si="7"/>
        <v>369</v>
      </c>
      <c r="V109" s="139" t="s">
        <v>2240</v>
      </c>
      <c r="W109" s="139" t="s">
        <v>2241</v>
      </c>
    </row>
    <row r="110" spans="1:23">
      <c r="A110" s="149">
        <v>51</v>
      </c>
      <c r="B110" s="258" t="str">
        <f t="shared" si="14"/>
        <v>Pomoći EU</v>
      </c>
      <c r="C110" s="149">
        <v>3132</v>
      </c>
      <c r="D110" s="258" t="str">
        <f t="shared" si="9"/>
        <v/>
      </c>
      <c r="E110" s="183" t="s">
        <v>2471</v>
      </c>
      <c r="F110" s="258" t="str">
        <f>IFERROR(VLOOKUP(E110,$V$7:$W$1103,2,FALSE),"")</f>
        <v>2CODE Intrr.  CBC Hrvatska -BIH i  - Crna gora</v>
      </c>
      <c r="G110" s="182">
        <v>3380.9537299338999</v>
      </c>
      <c r="H110" s="182">
        <v>0</v>
      </c>
      <c r="I110" s="182">
        <f t="shared" si="2"/>
        <v>-3380.9537299338999</v>
      </c>
      <c r="K110" s="139" t="str">
        <f t="shared" si="15"/>
        <v>313</v>
      </c>
      <c r="L110" s="139" t="str">
        <f t="shared" si="16"/>
        <v>31</v>
      </c>
      <c r="P110" s="139">
        <v>3692</v>
      </c>
      <c r="Q110" s="139" t="s">
        <v>180</v>
      </c>
      <c r="S110" s="139" t="str">
        <f t="shared" si="6"/>
        <v>36</v>
      </c>
      <c r="T110" s="139" t="str">
        <f t="shared" si="7"/>
        <v>369</v>
      </c>
      <c r="V110" s="139" t="s">
        <v>2242</v>
      </c>
      <c r="W110" s="139" t="s">
        <v>2243</v>
      </c>
    </row>
    <row r="111" spans="1:23">
      <c r="A111" s="149">
        <v>51</v>
      </c>
      <c r="B111" s="258" t="str">
        <f t="shared" si="14"/>
        <v>Pomoći EU</v>
      </c>
      <c r="C111" s="149">
        <v>3211</v>
      </c>
      <c r="D111" s="258" t="str">
        <f t="shared" si="9"/>
        <v>Službena putovanja</v>
      </c>
      <c r="E111" s="183" t="s">
        <v>2471</v>
      </c>
      <c r="F111" s="258" t="str">
        <f>IFERROR(VLOOKUP(E111,$V$7:$W$1103,2,FALSE),"")</f>
        <v>2CODE Intrr.  CBC Hrvatska -BIH i  - Crna gora</v>
      </c>
      <c r="G111" s="182">
        <v>1724.9763928234183</v>
      </c>
      <c r="H111" s="182">
        <v>789.82999999999993</v>
      </c>
      <c r="I111" s="182">
        <f t="shared" si="2"/>
        <v>-935.14639282341841</v>
      </c>
      <c r="K111" s="139" t="str">
        <f t="shared" si="15"/>
        <v>321</v>
      </c>
      <c r="L111" s="139" t="str">
        <f t="shared" si="16"/>
        <v>32</v>
      </c>
      <c r="P111" s="139">
        <v>3693</v>
      </c>
      <c r="Q111" s="139" t="s">
        <v>108</v>
      </c>
      <c r="S111" s="139" t="str">
        <f t="shared" si="6"/>
        <v>36</v>
      </c>
      <c r="T111" s="139" t="str">
        <f t="shared" si="7"/>
        <v>369</v>
      </c>
      <c r="V111" s="139" t="s">
        <v>2244</v>
      </c>
      <c r="W111" s="139" t="s">
        <v>2245</v>
      </c>
    </row>
    <row r="112" spans="1:23">
      <c r="A112" s="149">
        <v>51</v>
      </c>
      <c r="B112" s="258" t="str">
        <f t="shared" si="14"/>
        <v>Pomoći EU</v>
      </c>
      <c r="C112" s="149">
        <v>3212</v>
      </c>
      <c r="D112" s="258" t="str">
        <f t="shared" si="9"/>
        <v>Naknade za prijevoz, za rad na terenu i odvojeni život</v>
      </c>
      <c r="E112" s="183" t="s">
        <v>2471</v>
      </c>
      <c r="F112" s="258" t="str">
        <f>IFERROR(VLOOKUP(E112,$V$7:$W$1103,2,FALSE),"")</f>
        <v>2CODE Intrr.  CBC Hrvatska -BIH i  - Crna gora</v>
      </c>
      <c r="G112" s="182">
        <v>206.9971671388102</v>
      </c>
      <c r="H112" s="182">
        <v>0</v>
      </c>
      <c r="I112" s="182">
        <f t="shared" si="2"/>
        <v>-206.9971671388102</v>
      </c>
      <c r="K112" s="139" t="str">
        <f t="shared" si="15"/>
        <v>321</v>
      </c>
      <c r="L112" s="139" t="str">
        <f t="shared" si="16"/>
        <v>32</v>
      </c>
      <c r="P112" s="139">
        <v>3694</v>
      </c>
      <c r="Q112" s="139" t="s">
        <v>180</v>
      </c>
      <c r="S112" s="139" t="str">
        <f t="shared" si="6"/>
        <v>36</v>
      </c>
      <c r="T112" s="139" t="str">
        <f t="shared" si="7"/>
        <v>369</v>
      </c>
      <c r="V112" s="139" t="s">
        <v>2246</v>
      </c>
      <c r="W112" s="139" t="s">
        <v>2247</v>
      </c>
    </row>
    <row r="113" spans="1:23">
      <c r="A113" s="149">
        <v>51</v>
      </c>
      <c r="B113" s="258" t="str">
        <f t="shared" si="14"/>
        <v>Pomoći EU</v>
      </c>
      <c r="C113" s="149">
        <v>3221</v>
      </c>
      <c r="D113" s="258" t="str">
        <f t="shared" si="9"/>
        <v>Uredski materijal i ostali materijalni rashodi</v>
      </c>
      <c r="E113" s="183" t="s">
        <v>2471</v>
      </c>
      <c r="F113" s="258" t="str">
        <f>IFERROR(VLOOKUP(E113,$V$7:$W$1103,2,FALSE),"")</f>
        <v>2CODE Intrr.  CBC Hrvatska -BIH i  - Crna gora</v>
      </c>
      <c r="G113" s="182">
        <v>3560.3512747875352</v>
      </c>
      <c r="H113" s="182">
        <v>0</v>
      </c>
      <c r="I113" s="182">
        <f t="shared" si="2"/>
        <v>-3560.3512747875352</v>
      </c>
      <c r="K113" s="139" t="str">
        <f t="shared" si="15"/>
        <v>322</v>
      </c>
      <c r="L113" s="139" t="str">
        <f t="shared" si="16"/>
        <v>32</v>
      </c>
      <c r="P113" s="139">
        <v>3711</v>
      </c>
      <c r="Q113" s="139" t="s">
        <v>127</v>
      </c>
      <c r="S113" s="139" t="str">
        <f t="shared" si="6"/>
        <v>37</v>
      </c>
      <c r="T113" s="139" t="str">
        <f t="shared" si="7"/>
        <v>371</v>
      </c>
      <c r="V113" s="139" t="s">
        <v>2248</v>
      </c>
      <c r="W113" s="139" t="s">
        <v>2249</v>
      </c>
    </row>
    <row r="114" spans="1:23">
      <c r="A114" s="149">
        <v>51</v>
      </c>
      <c r="B114" s="258" t="str">
        <f t="shared" si="14"/>
        <v>Pomoći EU</v>
      </c>
      <c r="C114" s="149" t="s">
        <v>3506</v>
      </c>
      <c r="D114" s="258"/>
      <c r="E114" s="183" t="s">
        <v>2471</v>
      </c>
      <c r="F114" s="258" t="str">
        <f t="shared" ref="F114:F117" si="20">IFERROR(VLOOKUP(E114,$V$7:$W$1103,2,FALSE),"")</f>
        <v>2CODE Intrr.  CBC Hrvatska -BIH i  - Crna gora</v>
      </c>
      <c r="G114" s="182">
        <v>0</v>
      </c>
      <c r="H114" s="182">
        <v>73058.009999999995</v>
      </c>
      <c r="I114" s="182">
        <f t="shared" si="2"/>
        <v>73058.009999999995</v>
      </c>
    </row>
    <row r="115" spans="1:23">
      <c r="A115" s="149">
        <v>51</v>
      </c>
      <c r="B115" s="258" t="str">
        <f t="shared" si="14"/>
        <v>Pomoći EU</v>
      </c>
      <c r="C115" s="149" t="s">
        <v>3512</v>
      </c>
      <c r="D115" s="258"/>
      <c r="E115" s="183" t="s">
        <v>2471</v>
      </c>
      <c r="F115" s="258" t="str">
        <f t="shared" si="20"/>
        <v>2CODE Intrr.  CBC Hrvatska -BIH i  - Crna gora</v>
      </c>
      <c r="G115" s="182">
        <v>0</v>
      </c>
      <c r="H115" s="182">
        <v>92375</v>
      </c>
      <c r="I115" s="182">
        <f t="shared" si="2"/>
        <v>92375</v>
      </c>
    </row>
    <row r="116" spans="1:23">
      <c r="A116" s="149">
        <v>51</v>
      </c>
      <c r="B116" s="258" t="str">
        <f t="shared" si="14"/>
        <v>Pomoći EU</v>
      </c>
      <c r="C116" s="149" t="s">
        <v>3507</v>
      </c>
      <c r="D116" s="258"/>
      <c r="E116" s="183" t="s">
        <v>2471</v>
      </c>
      <c r="F116" s="258" t="str">
        <f t="shared" si="20"/>
        <v>2CODE Intrr.  CBC Hrvatska -BIH i  - Crna gora</v>
      </c>
      <c r="G116" s="182">
        <v>0</v>
      </c>
      <c r="H116" s="182">
        <v>22350</v>
      </c>
      <c r="I116" s="182">
        <f t="shared" si="2"/>
        <v>22350</v>
      </c>
    </row>
    <row r="117" spans="1:23">
      <c r="A117" s="149">
        <v>51</v>
      </c>
      <c r="B117" s="258" t="str">
        <f t="shared" si="14"/>
        <v>Pomoći EU</v>
      </c>
      <c r="C117" s="149" t="s">
        <v>3502</v>
      </c>
      <c r="D117" s="258"/>
      <c r="E117" s="183" t="s">
        <v>2471</v>
      </c>
      <c r="F117" s="258" t="str">
        <f t="shared" si="20"/>
        <v>2CODE Intrr.  CBC Hrvatska -BIH i  - Crna gora</v>
      </c>
      <c r="G117" s="182">
        <v>0</v>
      </c>
      <c r="H117" s="182">
        <v>57028.75</v>
      </c>
      <c r="I117" s="182">
        <f t="shared" si="2"/>
        <v>57028.75</v>
      </c>
    </row>
    <row r="118" spans="1:23">
      <c r="A118" s="149">
        <v>51</v>
      </c>
      <c r="B118" s="258" t="str">
        <f t="shared" si="14"/>
        <v>Pomoći EU</v>
      </c>
      <c r="C118" s="149">
        <v>3111</v>
      </c>
      <c r="D118" s="258" t="str">
        <f t="shared" si="9"/>
        <v>Plaće za redovan rad</v>
      </c>
      <c r="E118" s="183" t="s">
        <v>2467</v>
      </c>
      <c r="F118" s="258" t="str">
        <f>IFERROR(VLOOKUP(E118,$V$7:$W$1103,2,FALSE),"")</f>
        <v>TRIPLE  H2020-INFRAEOSC-2018-2020</v>
      </c>
      <c r="G118" s="182">
        <v>5400.856820865085</v>
      </c>
      <c r="H118" s="182">
        <v>23084.17</v>
      </c>
      <c r="I118" s="182">
        <f t="shared" si="2"/>
        <v>17683.313179134915</v>
      </c>
      <c r="K118" s="139" t="str">
        <f t="shared" si="15"/>
        <v>311</v>
      </c>
      <c r="L118" s="139" t="str">
        <f t="shared" si="16"/>
        <v>31</v>
      </c>
      <c r="P118" s="139">
        <v>3713</v>
      </c>
      <c r="Q118" s="139" t="s">
        <v>172</v>
      </c>
      <c r="S118" s="139" t="str">
        <f t="shared" si="6"/>
        <v>37</v>
      </c>
      <c r="T118" s="139" t="str">
        <f t="shared" si="7"/>
        <v>371</v>
      </c>
      <c r="V118" s="139" t="s">
        <v>2252</v>
      </c>
      <c r="W118" s="139" t="s">
        <v>2253</v>
      </c>
    </row>
    <row r="119" spans="1:23">
      <c r="A119" s="149">
        <v>51</v>
      </c>
      <c r="B119" s="258" t="str">
        <f t="shared" si="14"/>
        <v>Pomoći EU</v>
      </c>
      <c r="C119" s="149">
        <v>3132</v>
      </c>
      <c r="D119" s="258" t="str">
        <f t="shared" si="9"/>
        <v/>
      </c>
      <c r="E119" s="183" t="s">
        <v>2467</v>
      </c>
      <c r="F119" s="258" t="str">
        <f>IFERROR(VLOOKUP(E119,$V$7:$W$1103,2,FALSE),"")</f>
        <v>TRIPLE  H2020-INFRAEOSC-2018-2020</v>
      </c>
      <c r="G119" s="182">
        <v>1028.1431791349146</v>
      </c>
      <c r="H119" s="182">
        <v>3808.9</v>
      </c>
      <c r="I119" s="182">
        <f t="shared" ref="I119:I188" si="21">+H119-G119</f>
        <v>2780.7568208650855</v>
      </c>
      <c r="K119" s="139" t="str">
        <f t="shared" ref="K119:K183" si="22">LEFT(C119,3)</f>
        <v>313</v>
      </c>
      <c r="L119" s="139" t="str">
        <f t="shared" ref="L119:L183" si="23">LEFT(C119,2)</f>
        <v>31</v>
      </c>
      <c r="P119" s="139">
        <v>3714</v>
      </c>
      <c r="Q119" s="139" t="s">
        <v>193</v>
      </c>
      <c r="S119" s="139" t="str">
        <f t="shared" si="6"/>
        <v>37</v>
      </c>
      <c r="T119" s="139" t="str">
        <f t="shared" si="7"/>
        <v>371</v>
      </c>
      <c r="V119" s="139" t="s">
        <v>2254</v>
      </c>
      <c r="W119" s="139" t="s">
        <v>2255</v>
      </c>
    </row>
    <row r="120" spans="1:23">
      <c r="A120" s="149">
        <v>51</v>
      </c>
      <c r="B120" s="258" t="str">
        <f t="shared" si="14"/>
        <v>Pomoći EU</v>
      </c>
      <c r="C120" s="149">
        <v>3211</v>
      </c>
      <c r="D120" s="258"/>
      <c r="E120" s="183" t="s">
        <v>2467</v>
      </c>
      <c r="F120" s="258" t="str">
        <f t="shared" ref="F120:F128" si="24">IFERROR(VLOOKUP(E120,$V$7:$W$1103,2,FALSE),"")</f>
        <v>TRIPLE  H2020-INFRAEOSC-2018-2020</v>
      </c>
      <c r="G120" s="182">
        <v>0</v>
      </c>
      <c r="H120" s="182">
        <v>15106.279999999999</v>
      </c>
      <c r="I120" s="182">
        <f t="shared" si="21"/>
        <v>15106.279999999999</v>
      </c>
    </row>
    <row r="121" spans="1:23">
      <c r="A121" s="149">
        <v>51</v>
      </c>
      <c r="B121" s="258" t="str">
        <f t="shared" si="14"/>
        <v>Pomoći EU</v>
      </c>
      <c r="C121" s="149">
        <v>3213</v>
      </c>
      <c r="D121" s="258"/>
      <c r="E121" s="183" t="s">
        <v>2467</v>
      </c>
      <c r="F121" s="258" t="str">
        <f t="shared" si="24"/>
        <v>TRIPLE  H2020-INFRAEOSC-2018-2020</v>
      </c>
      <c r="G121" s="182">
        <v>0</v>
      </c>
      <c r="H121" s="182">
        <v>958.53</v>
      </c>
      <c r="I121" s="182">
        <f t="shared" si="21"/>
        <v>958.53</v>
      </c>
    </row>
    <row r="122" spans="1:23">
      <c r="A122" s="149">
        <v>51</v>
      </c>
      <c r="B122" s="258" t="str">
        <f t="shared" si="14"/>
        <v>Pomoći EU</v>
      </c>
      <c r="C122" s="149" t="s">
        <v>3513</v>
      </c>
      <c r="D122" s="258"/>
      <c r="E122" s="183" t="s">
        <v>2467</v>
      </c>
      <c r="F122" s="258" t="str">
        <f t="shared" si="24"/>
        <v>TRIPLE  H2020-INFRAEOSC-2018-2020</v>
      </c>
      <c r="G122" s="182">
        <v>0</v>
      </c>
      <c r="H122" s="182">
        <v>285</v>
      </c>
      <c r="I122" s="182">
        <f t="shared" si="21"/>
        <v>285</v>
      </c>
    </row>
    <row r="123" spans="1:23">
      <c r="A123" s="149">
        <v>51</v>
      </c>
      <c r="B123" s="258" t="str">
        <f t="shared" si="14"/>
        <v>Pomoći EU</v>
      </c>
      <c r="C123" s="149" t="s">
        <v>3514</v>
      </c>
      <c r="D123" s="258"/>
      <c r="E123" s="183" t="s">
        <v>2467</v>
      </c>
      <c r="F123" s="258" t="str">
        <f t="shared" si="24"/>
        <v>TRIPLE  H2020-INFRAEOSC-2018-2020</v>
      </c>
      <c r="G123" s="182">
        <v>0</v>
      </c>
      <c r="H123" s="182">
        <v>2710.13</v>
      </c>
      <c r="I123" s="182">
        <f t="shared" si="21"/>
        <v>2710.13</v>
      </c>
    </row>
    <row r="124" spans="1:23">
      <c r="A124" s="149">
        <v>51</v>
      </c>
      <c r="B124" s="258" t="str">
        <f t="shared" si="14"/>
        <v>Pomoći EU</v>
      </c>
      <c r="C124" s="149" t="s">
        <v>3515</v>
      </c>
      <c r="D124" s="258"/>
      <c r="E124" s="183" t="s">
        <v>2467</v>
      </c>
      <c r="F124" s="258" t="str">
        <f t="shared" si="24"/>
        <v>TRIPLE  H2020-INFRAEOSC-2018-2020</v>
      </c>
      <c r="G124" s="182">
        <v>0</v>
      </c>
      <c r="H124" s="182">
        <v>732.31</v>
      </c>
      <c r="I124" s="182">
        <f t="shared" si="21"/>
        <v>732.31</v>
      </c>
    </row>
    <row r="125" spans="1:23">
      <c r="A125" s="149">
        <v>51</v>
      </c>
      <c r="B125" s="258" t="str">
        <f t="shared" si="14"/>
        <v>Pomoći EU</v>
      </c>
      <c r="C125" s="149" t="s">
        <v>3507</v>
      </c>
      <c r="D125" s="258"/>
      <c r="E125" s="183" t="s">
        <v>2467</v>
      </c>
      <c r="F125" s="258" t="str">
        <f t="shared" si="24"/>
        <v>TRIPLE  H2020-INFRAEOSC-2018-2020</v>
      </c>
      <c r="G125" s="182">
        <v>0</v>
      </c>
      <c r="H125" s="182">
        <v>3900</v>
      </c>
      <c r="I125" s="182">
        <f t="shared" si="21"/>
        <v>3900</v>
      </c>
    </row>
    <row r="126" spans="1:23">
      <c r="A126" s="149">
        <v>51</v>
      </c>
      <c r="B126" s="258" t="str">
        <f t="shared" si="14"/>
        <v>Pomoći EU</v>
      </c>
      <c r="C126" s="149" t="s">
        <v>3508</v>
      </c>
      <c r="D126" s="258"/>
      <c r="E126" s="183" t="s">
        <v>2467</v>
      </c>
      <c r="F126" s="258" t="str">
        <f t="shared" si="24"/>
        <v>TRIPLE  H2020-INFRAEOSC-2018-2020</v>
      </c>
      <c r="G126" s="182">
        <v>0</v>
      </c>
      <c r="H126" s="182">
        <v>1002</v>
      </c>
      <c r="I126" s="182">
        <f t="shared" si="21"/>
        <v>1002</v>
      </c>
    </row>
    <row r="127" spans="1:23">
      <c r="A127" s="149">
        <v>51</v>
      </c>
      <c r="B127" s="258" t="str">
        <f t="shared" si="14"/>
        <v>Pomoći EU</v>
      </c>
      <c r="C127" s="149" t="s">
        <v>3497</v>
      </c>
      <c r="D127" s="258"/>
      <c r="E127" s="183" t="s">
        <v>2467</v>
      </c>
      <c r="F127" s="258" t="str">
        <f t="shared" si="24"/>
        <v>TRIPLE  H2020-INFRAEOSC-2018-2020</v>
      </c>
      <c r="G127" s="182">
        <v>0</v>
      </c>
      <c r="H127" s="182">
        <v>2.25</v>
      </c>
      <c r="I127" s="182">
        <f t="shared" si="21"/>
        <v>2.25</v>
      </c>
    </row>
    <row r="128" spans="1:23">
      <c r="A128" s="149">
        <v>51</v>
      </c>
      <c r="B128" s="258" t="str">
        <f t="shared" si="14"/>
        <v>Pomoći EU</v>
      </c>
      <c r="C128" s="149" t="s">
        <v>3500</v>
      </c>
      <c r="D128" s="258"/>
      <c r="E128" s="183" t="s">
        <v>2467</v>
      </c>
      <c r="F128" s="258" t="str">
        <f t="shared" si="24"/>
        <v>TRIPLE  H2020-INFRAEOSC-2018-2020</v>
      </c>
      <c r="G128" s="182">
        <v>0</v>
      </c>
      <c r="H128" s="182">
        <v>15039.06</v>
      </c>
      <c r="I128" s="182">
        <f t="shared" si="21"/>
        <v>15039.06</v>
      </c>
    </row>
    <row r="129" spans="1:23">
      <c r="A129" s="149">
        <v>52</v>
      </c>
      <c r="B129" s="258" t="str">
        <f t="shared" si="14"/>
        <v>Ostale pomoći</v>
      </c>
      <c r="C129" s="149">
        <v>3211</v>
      </c>
      <c r="D129" s="258" t="str">
        <f t="shared" si="9"/>
        <v>Službena putovanja</v>
      </c>
      <c r="E129" s="183" t="s">
        <v>2465</v>
      </c>
      <c r="F129" s="258" t="str">
        <f t="shared" ref="F129:F147" si="25">IFERROR(VLOOKUP(E129,$V$7:$W$1103,2,FALSE),"")</f>
        <v>VODI ME  Vode Imotske krajine</v>
      </c>
      <c r="G129" s="182">
        <v>31069.852259078791</v>
      </c>
      <c r="H129" s="182">
        <v>0</v>
      </c>
      <c r="I129" s="182">
        <f t="shared" si="21"/>
        <v>-31069.852259078791</v>
      </c>
      <c r="K129" s="139" t="str">
        <f t="shared" si="22"/>
        <v>321</v>
      </c>
      <c r="L129" s="139" t="str">
        <f t="shared" si="23"/>
        <v>32</v>
      </c>
      <c r="P129" s="139">
        <v>3721</v>
      </c>
      <c r="Q129" s="139" t="s">
        <v>69</v>
      </c>
      <c r="S129" s="139" t="str">
        <f t="shared" ref="S129:S214" si="26">LEFT(P129,2)</f>
        <v>37</v>
      </c>
      <c r="T129" s="139" t="str">
        <f t="shared" si="7"/>
        <v>372</v>
      </c>
      <c r="V129" s="139" t="s">
        <v>2258</v>
      </c>
      <c r="W129" s="139" t="s">
        <v>2259</v>
      </c>
    </row>
    <row r="130" spans="1:23">
      <c r="A130" s="149">
        <v>52</v>
      </c>
      <c r="B130" s="258" t="str">
        <f t="shared" si="14"/>
        <v>Ostale pomoći</v>
      </c>
      <c r="C130" s="149">
        <v>3221</v>
      </c>
      <c r="D130" s="258" t="str">
        <f t="shared" si="9"/>
        <v>Uredski materijal i ostali materijalni rashodi</v>
      </c>
      <c r="E130" s="183" t="s">
        <v>2465</v>
      </c>
      <c r="F130" s="258" t="str">
        <f t="shared" si="25"/>
        <v>VODI ME  Vode Imotske krajine</v>
      </c>
      <c r="G130" s="182">
        <v>11760.221533263677</v>
      </c>
      <c r="H130" s="182">
        <v>0</v>
      </c>
      <c r="I130" s="182">
        <f t="shared" si="21"/>
        <v>-11760.221533263677</v>
      </c>
      <c r="K130" s="139" t="str">
        <f t="shared" si="22"/>
        <v>322</v>
      </c>
      <c r="L130" s="139" t="str">
        <f t="shared" si="23"/>
        <v>32</v>
      </c>
      <c r="P130" s="139">
        <v>3722</v>
      </c>
      <c r="Q130" s="139" t="s">
        <v>154</v>
      </c>
      <c r="S130" s="139" t="str">
        <f t="shared" si="26"/>
        <v>37</v>
      </c>
      <c r="T130" s="139" t="str">
        <f t="shared" ref="T130:T214" si="27">LEFT(P130,3)</f>
        <v>372</v>
      </c>
      <c r="V130" s="139" t="s">
        <v>2260</v>
      </c>
      <c r="W130" s="139" t="s">
        <v>2261</v>
      </c>
    </row>
    <row r="131" spans="1:23">
      <c r="A131" s="149">
        <v>52</v>
      </c>
      <c r="B131" s="258" t="str">
        <f t="shared" si="14"/>
        <v>Ostale pomoći</v>
      </c>
      <c r="C131" s="149">
        <v>3239</v>
      </c>
      <c r="D131" s="258" t="str">
        <f t="shared" si="9"/>
        <v>Ostale usluge</v>
      </c>
      <c r="E131" s="183" t="s">
        <v>2465</v>
      </c>
      <c r="F131" s="258" t="str">
        <f t="shared" si="25"/>
        <v>VODI ME  Vode Imotske krajine</v>
      </c>
      <c r="G131" s="182">
        <v>72872.926207657525</v>
      </c>
      <c r="H131" s="182">
        <v>0</v>
      </c>
      <c r="I131" s="182">
        <f t="shared" si="21"/>
        <v>-72872.926207657525</v>
      </c>
      <c r="K131" s="139" t="str">
        <f t="shared" si="22"/>
        <v>323</v>
      </c>
      <c r="L131" s="139" t="str">
        <f t="shared" si="23"/>
        <v>32</v>
      </c>
      <c r="P131" s="139">
        <v>3723</v>
      </c>
      <c r="Q131" s="139" t="s">
        <v>109</v>
      </c>
      <c r="S131" s="139" t="str">
        <f t="shared" si="26"/>
        <v>37</v>
      </c>
      <c r="T131" s="139" t="str">
        <f t="shared" si="27"/>
        <v>372</v>
      </c>
      <c r="V131" s="139" t="s">
        <v>2262</v>
      </c>
      <c r="W131" s="139" t="s">
        <v>2263</v>
      </c>
    </row>
    <row r="132" spans="1:23">
      <c r="A132" s="149">
        <v>52</v>
      </c>
      <c r="B132" s="258" t="str">
        <f t="shared" si="14"/>
        <v>Ostale pomoći</v>
      </c>
      <c r="C132" s="149">
        <v>3111</v>
      </c>
      <c r="D132" s="258" t="str">
        <f t="shared" si="9"/>
        <v>Plaće za redovan rad</v>
      </c>
      <c r="E132" s="183" t="s">
        <v>1506</v>
      </c>
      <c r="F132" s="258" t="str">
        <f t="shared" si="25"/>
        <v>ERASMUS+ KA1- mobilnost u visokom obrazovanju</v>
      </c>
      <c r="G132" s="182">
        <v>209191.73786985994</v>
      </c>
      <c r="H132" s="182">
        <v>222052.19</v>
      </c>
      <c r="I132" s="182">
        <f t="shared" si="21"/>
        <v>12860.452130140067</v>
      </c>
      <c r="K132" s="139" t="str">
        <f t="shared" si="22"/>
        <v>311</v>
      </c>
      <c r="L132" s="139" t="str">
        <f t="shared" si="23"/>
        <v>31</v>
      </c>
      <c r="P132" s="139">
        <v>3812</v>
      </c>
      <c r="Q132" s="139" t="s">
        <v>155</v>
      </c>
      <c r="S132" s="139" t="str">
        <f t="shared" si="26"/>
        <v>38</v>
      </c>
      <c r="T132" s="139" t="str">
        <f t="shared" si="27"/>
        <v>381</v>
      </c>
      <c r="V132" s="139" t="s">
        <v>2266</v>
      </c>
      <c r="W132" s="139" t="s">
        <v>2267</v>
      </c>
    </row>
    <row r="133" spans="1:23">
      <c r="A133" s="149">
        <v>52</v>
      </c>
      <c r="B133" s="258" t="str">
        <f t="shared" si="14"/>
        <v>Ostale pomoći</v>
      </c>
      <c r="C133" s="149">
        <v>3132</v>
      </c>
      <c r="D133" s="258" t="str">
        <f t="shared" si="9"/>
        <v/>
      </c>
      <c r="E133" s="183" t="s">
        <v>1506</v>
      </c>
      <c r="F133" s="258" t="str">
        <f t="shared" si="25"/>
        <v>ERASMUS+ KA1- mobilnost u visokom obrazovanju</v>
      </c>
      <c r="G133" s="182">
        <v>36916.189035857627</v>
      </c>
      <c r="H133" s="182">
        <v>36638.620000000003</v>
      </c>
      <c r="I133" s="182">
        <f t="shared" si="21"/>
        <v>-277.56903585762484</v>
      </c>
      <c r="K133" s="139" t="str">
        <f t="shared" si="22"/>
        <v>313</v>
      </c>
      <c r="L133" s="139" t="str">
        <f t="shared" si="23"/>
        <v>31</v>
      </c>
      <c r="P133" s="139">
        <v>3813</v>
      </c>
      <c r="Q133" s="139" t="s">
        <v>98</v>
      </c>
      <c r="S133" s="139" t="str">
        <f t="shared" si="26"/>
        <v>38</v>
      </c>
      <c r="T133" s="139" t="str">
        <f t="shared" si="27"/>
        <v>381</v>
      </c>
      <c r="V133" s="139" t="s">
        <v>2268</v>
      </c>
      <c r="W133" s="139" t="s">
        <v>2269</v>
      </c>
    </row>
    <row r="134" spans="1:23">
      <c r="A134" s="149">
        <v>52</v>
      </c>
      <c r="B134" s="258" t="str">
        <f t="shared" si="14"/>
        <v>Ostale pomoći</v>
      </c>
      <c r="C134" s="149">
        <v>3121</v>
      </c>
      <c r="D134" s="258" t="str">
        <f t="shared" si="9"/>
        <v>Ostali rashodi za zaposlene</v>
      </c>
      <c r="E134" s="183" t="s">
        <v>1506</v>
      </c>
      <c r="F134" s="258" t="str">
        <f t="shared" si="25"/>
        <v>ERASMUS+ KA1- mobilnost u visokom obrazovanju</v>
      </c>
      <c r="G134" s="182">
        <v>3389.418854472824</v>
      </c>
      <c r="H134" s="182">
        <v>6923.35</v>
      </c>
      <c r="I134" s="182">
        <f t="shared" si="21"/>
        <v>3533.9311455271763</v>
      </c>
      <c r="K134" s="139" t="str">
        <f t="shared" si="22"/>
        <v>312</v>
      </c>
      <c r="L134" s="139" t="str">
        <f t="shared" si="23"/>
        <v>31</v>
      </c>
      <c r="P134" s="139">
        <v>3821</v>
      </c>
      <c r="Q134" s="139" t="s">
        <v>173</v>
      </c>
      <c r="S134" s="139" t="str">
        <f t="shared" si="26"/>
        <v>38</v>
      </c>
      <c r="T134" s="139" t="str">
        <f t="shared" si="27"/>
        <v>382</v>
      </c>
      <c r="V134" s="139" t="s">
        <v>2270</v>
      </c>
      <c r="W134" s="139" t="s">
        <v>2271</v>
      </c>
    </row>
    <row r="135" spans="1:23">
      <c r="A135" s="149">
        <v>52</v>
      </c>
      <c r="B135" s="258" t="str">
        <f t="shared" si="14"/>
        <v>Ostale pomoći</v>
      </c>
      <c r="C135" s="149">
        <v>3211</v>
      </c>
      <c r="D135" s="258" t="str">
        <f t="shared" si="9"/>
        <v>Službena putovanja</v>
      </c>
      <c r="E135" s="183" t="s">
        <v>1506</v>
      </c>
      <c r="F135" s="258" t="str">
        <f t="shared" si="25"/>
        <v>ERASMUS+ KA1- mobilnost u visokom obrazovanju</v>
      </c>
      <c r="G135" s="182">
        <v>49899.469152038087</v>
      </c>
      <c r="H135" s="182">
        <v>5158.17</v>
      </c>
      <c r="I135" s="182">
        <f t="shared" si="21"/>
        <v>-44741.299152038089</v>
      </c>
      <c r="K135" s="139" t="str">
        <f t="shared" si="22"/>
        <v>321</v>
      </c>
      <c r="L135" s="139" t="str">
        <f t="shared" si="23"/>
        <v>32</v>
      </c>
      <c r="P135" s="139">
        <v>3831</v>
      </c>
      <c r="Q135" s="139" t="s">
        <v>156</v>
      </c>
      <c r="S135" s="139" t="str">
        <f t="shared" si="26"/>
        <v>38</v>
      </c>
      <c r="T135" s="139" t="str">
        <f t="shared" si="27"/>
        <v>383</v>
      </c>
      <c r="V135" s="139" t="s">
        <v>2272</v>
      </c>
      <c r="W135" s="139" t="s">
        <v>2273</v>
      </c>
    </row>
    <row r="136" spans="1:23">
      <c r="A136" s="149">
        <v>52</v>
      </c>
      <c r="B136" s="258" t="str">
        <f t="shared" si="14"/>
        <v>Ostale pomoći</v>
      </c>
      <c r="C136" s="149">
        <v>3212</v>
      </c>
      <c r="D136" s="258" t="str">
        <f t="shared" si="9"/>
        <v>Naknade za prijevoz, za rad na terenu i odvojeni život</v>
      </c>
      <c r="E136" s="183" t="s">
        <v>1506</v>
      </c>
      <c r="F136" s="258" t="str">
        <f t="shared" si="25"/>
        <v>ERASMUS+ KA1- mobilnost u visokom obrazovanju</v>
      </c>
      <c r="G136" s="182">
        <v>3492.9628406426655</v>
      </c>
      <c r="H136" s="182">
        <v>7235</v>
      </c>
      <c r="I136" s="182">
        <f t="shared" si="21"/>
        <v>3742.0371593573345</v>
      </c>
      <c r="K136" s="139" t="str">
        <f t="shared" si="22"/>
        <v>321</v>
      </c>
      <c r="L136" s="139" t="str">
        <f t="shared" si="23"/>
        <v>32</v>
      </c>
      <c r="P136" s="139">
        <v>3832</v>
      </c>
      <c r="Q136" s="139" t="s">
        <v>196</v>
      </c>
      <c r="S136" s="139" t="str">
        <f t="shared" si="26"/>
        <v>38</v>
      </c>
      <c r="T136" s="139" t="str">
        <f t="shared" si="27"/>
        <v>383</v>
      </c>
      <c r="V136" s="139" t="s">
        <v>2274</v>
      </c>
      <c r="W136" s="139" t="s">
        <v>2275</v>
      </c>
    </row>
    <row r="137" spans="1:23">
      <c r="A137" s="149">
        <v>52</v>
      </c>
      <c r="B137" s="258" t="str">
        <f t="shared" si="14"/>
        <v>Ostale pomoći</v>
      </c>
      <c r="C137" s="149">
        <v>3214</v>
      </c>
      <c r="D137" s="258" t="str">
        <f t="shared" si="9"/>
        <v/>
      </c>
      <c r="E137" s="183" t="s">
        <v>1506</v>
      </c>
      <c r="F137" s="258" t="str">
        <f t="shared" si="25"/>
        <v>ERASMUS+ KA1- mobilnost u visokom obrazovanju</v>
      </c>
      <c r="G137" s="182">
        <v>33183.146986105319</v>
      </c>
      <c r="H137" s="182">
        <v>464934.02</v>
      </c>
      <c r="I137" s="182">
        <f t="shared" si="21"/>
        <v>431750.87301389471</v>
      </c>
      <c r="K137" s="139" t="str">
        <f t="shared" si="22"/>
        <v>321</v>
      </c>
      <c r="L137" s="139" t="str">
        <f t="shared" si="23"/>
        <v>32</v>
      </c>
      <c r="P137" s="139">
        <v>3833</v>
      </c>
      <c r="Q137" s="139" t="s">
        <v>157</v>
      </c>
      <c r="S137" s="139" t="str">
        <f t="shared" si="26"/>
        <v>38</v>
      </c>
      <c r="T137" s="139" t="str">
        <f t="shared" si="27"/>
        <v>383</v>
      </c>
      <c r="V137" s="139" t="s">
        <v>2276</v>
      </c>
      <c r="W137" s="139" t="s">
        <v>2277</v>
      </c>
    </row>
    <row r="138" spans="1:23">
      <c r="A138" s="149">
        <v>52</v>
      </c>
      <c r="B138" s="258" t="str">
        <f t="shared" ref="B138:B230" si="28">IFERROR(VLOOKUP(A138,$M$7:$N$37,2,FALSE),"")</f>
        <v>Ostale pomoći</v>
      </c>
      <c r="C138" s="149">
        <v>3221</v>
      </c>
      <c r="D138" s="258" t="str">
        <f t="shared" si="9"/>
        <v>Uredski materijal i ostali materijalni rashodi</v>
      </c>
      <c r="E138" s="183" t="s">
        <v>1506</v>
      </c>
      <c r="F138" s="258" t="str">
        <f t="shared" si="25"/>
        <v>ERASMUS+ KA1- mobilnost u visokom obrazovanju</v>
      </c>
      <c r="G138" s="182">
        <v>43662.035508033317</v>
      </c>
      <c r="H138" s="182">
        <v>6966.65</v>
      </c>
      <c r="I138" s="182">
        <f t="shared" si="21"/>
        <v>-36695.385508033316</v>
      </c>
      <c r="K138" s="139" t="str">
        <f t="shared" si="22"/>
        <v>322</v>
      </c>
      <c r="L138" s="139" t="str">
        <f t="shared" si="23"/>
        <v>32</v>
      </c>
      <c r="P138" s="139">
        <v>3834</v>
      </c>
      <c r="Q138" s="139" t="s">
        <v>158</v>
      </c>
      <c r="S138" s="139" t="str">
        <f t="shared" si="26"/>
        <v>38</v>
      </c>
      <c r="T138" s="139" t="str">
        <f t="shared" si="27"/>
        <v>383</v>
      </c>
      <c r="V138" s="139" t="s">
        <v>2278</v>
      </c>
      <c r="W138" s="139" t="s">
        <v>2279</v>
      </c>
    </row>
    <row r="139" spans="1:23">
      <c r="A139" s="149">
        <v>52</v>
      </c>
      <c r="B139" s="258" t="str">
        <f t="shared" si="14"/>
        <v>Ostale pomoći</v>
      </c>
      <c r="C139" s="149">
        <v>3237</v>
      </c>
      <c r="D139" s="258" t="str">
        <f t="shared" ref="D139:D231" si="29">IFERROR(VLOOKUP(C139,$P$6:$R$214,2,FALSE),"")</f>
        <v>Intelektualne i osobne usluge</v>
      </c>
      <c r="E139" s="183" t="s">
        <v>1506</v>
      </c>
      <c r="F139" s="258" t="str">
        <f t="shared" si="25"/>
        <v>ERASMUS+ KA1- mobilnost u visokom obrazovanju</v>
      </c>
      <c r="G139" s="182">
        <v>45408.516928354649</v>
      </c>
      <c r="H139" s="182">
        <v>4596.58</v>
      </c>
      <c r="I139" s="182">
        <f t="shared" si="21"/>
        <v>-40811.936928354648</v>
      </c>
      <c r="K139" s="139" t="str">
        <f t="shared" si="22"/>
        <v>323</v>
      </c>
      <c r="L139" s="139" t="str">
        <f t="shared" si="23"/>
        <v>32</v>
      </c>
      <c r="P139" s="139">
        <v>3835</v>
      </c>
      <c r="Q139" s="139" t="s">
        <v>159</v>
      </c>
      <c r="S139" s="139" t="str">
        <f t="shared" si="26"/>
        <v>38</v>
      </c>
      <c r="T139" s="139" t="str">
        <f t="shared" si="27"/>
        <v>383</v>
      </c>
      <c r="V139" s="139" t="s">
        <v>2280</v>
      </c>
      <c r="W139" s="139" t="s">
        <v>2281</v>
      </c>
    </row>
    <row r="140" spans="1:23">
      <c r="A140" s="149">
        <v>52</v>
      </c>
      <c r="B140" s="258" t="str">
        <f t="shared" ref="B140:B143" si="30">IFERROR(VLOOKUP(A140,$M$7:$N$37,2,FALSE),"")</f>
        <v>Ostale pomoći</v>
      </c>
      <c r="C140" s="149">
        <v>3239</v>
      </c>
      <c r="D140" s="258" t="str">
        <f t="shared" si="29"/>
        <v>Ostale usluge</v>
      </c>
      <c r="E140" s="183" t="s">
        <v>1506</v>
      </c>
      <c r="F140" s="258" t="str">
        <f t="shared" si="25"/>
        <v>ERASMUS+ KA1- mobilnost u visokom obrazovanju</v>
      </c>
      <c r="G140" s="182">
        <v>0</v>
      </c>
      <c r="H140" s="182">
        <v>16862.5</v>
      </c>
      <c r="I140" s="182">
        <f t="shared" si="21"/>
        <v>16862.5</v>
      </c>
      <c r="K140" s="139" t="str">
        <f t="shared" si="22"/>
        <v>323</v>
      </c>
      <c r="L140" s="139" t="str">
        <f t="shared" si="23"/>
        <v>32</v>
      </c>
    </row>
    <row r="141" spans="1:23">
      <c r="A141" s="149">
        <v>52</v>
      </c>
      <c r="B141" s="258" t="str">
        <f t="shared" si="30"/>
        <v>Ostale pomoći</v>
      </c>
      <c r="C141" s="149">
        <v>3241</v>
      </c>
      <c r="D141" s="258" t="str">
        <f t="shared" si="29"/>
        <v>Naknade troškova osobama izvan radnog odnosa</v>
      </c>
      <c r="E141" s="183" t="s">
        <v>1506</v>
      </c>
      <c r="F141" s="258" t="str">
        <f t="shared" si="25"/>
        <v>ERASMUS+ KA1- mobilnost u visokom obrazovanju</v>
      </c>
      <c r="G141" s="182">
        <v>0</v>
      </c>
      <c r="H141" s="182">
        <v>112568.35</v>
      </c>
      <c r="I141" s="182">
        <f t="shared" si="21"/>
        <v>112568.35</v>
      </c>
      <c r="K141" s="139" t="str">
        <f t="shared" si="22"/>
        <v>324</v>
      </c>
      <c r="L141" s="139" t="str">
        <f t="shared" si="23"/>
        <v>32</v>
      </c>
    </row>
    <row r="142" spans="1:23">
      <c r="A142" s="149">
        <v>52</v>
      </c>
      <c r="B142" s="258" t="str">
        <f t="shared" si="30"/>
        <v>Ostale pomoći</v>
      </c>
      <c r="C142" s="149">
        <v>3293</v>
      </c>
      <c r="D142" s="258" t="str">
        <f t="shared" si="29"/>
        <v xml:space="preserve">  Reprezentacija</v>
      </c>
      <c r="E142" s="183" t="s">
        <v>1506</v>
      </c>
      <c r="F142" s="258" t="str">
        <f t="shared" si="25"/>
        <v>ERASMUS+ KA1- mobilnost u visokom obrazovanju</v>
      </c>
      <c r="G142" s="182">
        <v>0</v>
      </c>
      <c r="H142" s="182">
        <v>122.97</v>
      </c>
      <c r="I142" s="182">
        <f t="shared" si="21"/>
        <v>122.97</v>
      </c>
      <c r="K142" s="139" t="str">
        <f t="shared" si="22"/>
        <v>329</v>
      </c>
      <c r="L142" s="139" t="str">
        <f t="shared" si="23"/>
        <v>32</v>
      </c>
    </row>
    <row r="143" spans="1:23">
      <c r="A143" s="149">
        <v>52</v>
      </c>
      <c r="B143" s="258" t="str">
        <f t="shared" si="30"/>
        <v>Ostale pomoći</v>
      </c>
      <c r="C143" s="149">
        <v>3721</v>
      </c>
      <c r="D143" s="258" t="str">
        <f t="shared" si="29"/>
        <v>Naknade građanima i kućanstvima u novcu</v>
      </c>
      <c r="E143" s="183" t="s">
        <v>1506</v>
      </c>
      <c r="F143" s="258" t="str">
        <f t="shared" si="25"/>
        <v>ERASMUS+ KA1- mobilnost u visokom obrazovanju</v>
      </c>
      <c r="G143" s="182">
        <v>2827636.585282159</v>
      </c>
      <c r="H143" s="182">
        <v>3517481.81</v>
      </c>
      <c r="I143" s="182">
        <f t="shared" si="21"/>
        <v>689845.22471784102</v>
      </c>
      <c r="K143" s="139" t="str">
        <f t="shared" si="22"/>
        <v>372</v>
      </c>
      <c r="L143" s="139" t="str">
        <f t="shared" si="23"/>
        <v>37</v>
      </c>
      <c r="P143" s="194">
        <v>3861</v>
      </c>
      <c r="Q143" s="195" t="s">
        <v>760</v>
      </c>
      <c r="R143" s="194"/>
      <c r="S143" s="194" t="str">
        <f t="shared" si="26"/>
        <v>38</v>
      </c>
      <c r="T143" s="194" t="str">
        <f t="shared" si="27"/>
        <v>386</v>
      </c>
      <c r="V143" s="139" t="s">
        <v>2282</v>
      </c>
      <c r="W143" s="139" t="s">
        <v>2283</v>
      </c>
    </row>
    <row r="144" spans="1:23">
      <c r="A144" s="149">
        <v>52</v>
      </c>
      <c r="B144" s="258" t="str">
        <f t="shared" si="28"/>
        <v>Ostale pomoći</v>
      </c>
      <c r="C144" s="149">
        <v>3811</v>
      </c>
      <c r="D144" s="258" t="str">
        <f t="shared" si="29"/>
        <v/>
      </c>
      <c r="E144" s="183" t="s">
        <v>1506</v>
      </c>
      <c r="F144" s="258" t="str">
        <f t="shared" si="25"/>
        <v>ERASMUS+ KA1- mobilnost u visokom obrazovanju</v>
      </c>
      <c r="G144" s="182">
        <v>24949.734576019044</v>
      </c>
      <c r="H144" s="182">
        <v>47550</v>
      </c>
      <c r="I144" s="182">
        <f t="shared" si="21"/>
        <v>22600.265423980956</v>
      </c>
      <c r="K144" s="139" t="str">
        <f t="shared" si="22"/>
        <v>381</v>
      </c>
      <c r="L144" s="139" t="str">
        <f t="shared" si="23"/>
        <v>38</v>
      </c>
      <c r="P144" s="193">
        <v>3862</v>
      </c>
      <c r="Q144" s="139" t="s">
        <v>761</v>
      </c>
      <c r="S144" s="139" t="str">
        <f t="shared" si="26"/>
        <v>38</v>
      </c>
      <c r="T144" s="139" t="str">
        <f t="shared" si="27"/>
        <v>386</v>
      </c>
      <c r="V144" s="139" t="s">
        <v>2284</v>
      </c>
      <c r="W144" s="139" t="s">
        <v>2285</v>
      </c>
    </row>
    <row r="145" spans="1:23">
      <c r="A145" s="149">
        <v>52</v>
      </c>
      <c r="B145" s="258" t="str">
        <f t="shared" si="28"/>
        <v>Ostale pomoći</v>
      </c>
      <c r="C145" s="149">
        <v>4221</v>
      </c>
      <c r="D145" s="258" t="str">
        <f t="shared" si="29"/>
        <v>Uredska oprema i namještaj</v>
      </c>
      <c r="E145" s="183" t="s">
        <v>1506</v>
      </c>
      <c r="F145" s="258" t="str">
        <f t="shared" si="25"/>
        <v>ERASMUS+ KA1- mobilnost u visokom obrazovanju</v>
      </c>
      <c r="G145" s="182">
        <v>48901.478863457596</v>
      </c>
      <c r="H145" s="182">
        <v>0</v>
      </c>
      <c r="I145" s="182">
        <f t="shared" si="21"/>
        <v>-48901.478863457596</v>
      </c>
      <c r="K145" s="139" t="str">
        <f t="shared" si="22"/>
        <v>422</v>
      </c>
      <c r="L145" s="139" t="str">
        <f t="shared" si="23"/>
        <v>42</v>
      </c>
      <c r="P145" s="193">
        <v>3863</v>
      </c>
      <c r="Q145" s="139" t="s">
        <v>762</v>
      </c>
      <c r="S145" s="139" t="str">
        <f t="shared" si="26"/>
        <v>38</v>
      </c>
      <c r="T145" s="139" t="str">
        <f t="shared" si="27"/>
        <v>386</v>
      </c>
      <c r="V145" s="139" t="s">
        <v>2286</v>
      </c>
      <c r="W145" s="139" t="s">
        <v>2287</v>
      </c>
    </row>
    <row r="146" spans="1:23">
      <c r="A146" s="149">
        <v>52</v>
      </c>
      <c r="B146" s="258" t="str">
        <f t="shared" si="28"/>
        <v>Ostale pomoći</v>
      </c>
      <c r="C146" s="149">
        <v>3111</v>
      </c>
      <c r="D146" s="258" t="str">
        <f t="shared" si="29"/>
        <v>Plaće za redovan rad</v>
      </c>
      <c r="E146" s="183" t="s">
        <v>2469</v>
      </c>
      <c r="F146" s="258" t="str">
        <f t="shared" si="25"/>
        <v>SHEMA  Proizvodnja hrane u kružnom biog</v>
      </c>
      <c r="G146" s="182">
        <v>64399.623748132573</v>
      </c>
      <c r="H146" s="182">
        <v>103878.63</v>
      </c>
      <c r="I146" s="182">
        <f t="shared" si="21"/>
        <v>39479.006251867431</v>
      </c>
      <c r="K146" s="139" t="str">
        <f t="shared" si="22"/>
        <v>311</v>
      </c>
      <c r="L146" s="139" t="str">
        <f t="shared" si="23"/>
        <v>31</v>
      </c>
      <c r="P146" s="139">
        <v>4113</v>
      </c>
      <c r="Q146" s="139" t="s">
        <v>194</v>
      </c>
      <c r="S146" s="139" t="str">
        <f t="shared" si="26"/>
        <v>41</v>
      </c>
      <c r="T146" s="139" t="str">
        <f t="shared" si="27"/>
        <v>411</v>
      </c>
      <c r="V146" s="139" t="s">
        <v>2290</v>
      </c>
      <c r="W146" s="139" t="s">
        <v>2291</v>
      </c>
    </row>
    <row r="147" spans="1:23">
      <c r="A147" s="149">
        <v>52</v>
      </c>
      <c r="B147" s="258" t="str">
        <f t="shared" si="28"/>
        <v>Ostale pomoći</v>
      </c>
      <c r="C147" s="149">
        <v>3132</v>
      </c>
      <c r="D147" s="258" t="str">
        <f t="shared" si="29"/>
        <v/>
      </c>
      <c r="E147" s="183" t="s">
        <v>2469</v>
      </c>
      <c r="F147" s="258" t="str">
        <f t="shared" si="25"/>
        <v>SHEMA  Proizvodnja hrane u kružnom biog</v>
      </c>
      <c r="G147" s="182">
        <v>10642.885187849277</v>
      </c>
      <c r="H147" s="182">
        <v>17139.98</v>
      </c>
      <c r="I147" s="182">
        <f t="shared" si="21"/>
        <v>6497.0948121507226</v>
      </c>
      <c r="K147" s="139" t="str">
        <f t="shared" si="22"/>
        <v>313</v>
      </c>
      <c r="L147" s="139" t="str">
        <f t="shared" si="23"/>
        <v>31</v>
      </c>
      <c r="P147" s="139">
        <v>4122</v>
      </c>
      <c r="Q147" s="139" t="s">
        <v>161</v>
      </c>
      <c r="S147" s="139" t="str">
        <f t="shared" si="26"/>
        <v>41</v>
      </c>
      <c r="T147" s="139" t="str">
        <f t="shared" si="27"/>
        <v>412</v>
      </c>
      <c r="V147" s="139" t="s">
        <v>2292</v>
      </c>
      <c r="W147" s="139" t="s">
        <v>2293</v>
      </c>
    </row>
    <row r="148" spans="1:23">
      <c r="A148" s="149">
        <v>52</v>
      </c>
      <c r="B148" s="258" t="str">
        <f t="shared" si="28"/>
        <v>Ostale pomoći</v>
      </c>
      <c r="C148" s="149">
        <v>3121</v>
      </c>
      <c r="D148" s="258" t="str">
        <f t="shared" si="29"/>
        <v>Ostali rashodi za zaposlene</v>
      </c>
      <c r="E148" s="183" t="s">
        <v>2469</v>
      </c>
      <c r="F148" s="258" t="str">
        <f t="shared" ref="F148" si="31">IFERROR(VLOOKUP(E148,$V$7:$W$1103,2,FALSE),"")</f>
        <v>SHEMA  Proizvodnja hrane u kružnom biog</v>
      </c>
      <c r="G148" s="182">
        <v>0</v>
      </c>
      <c r="H148" s="182">
        <v>1500</v>
      </c>
      <c r="I148" s="182">
        <f t="shared" si="21"/>
        <v>1500</v>
      </c>
      <c r="K148" s="139" t="str">
        <f t="shared" si="22"/>
        <v>312</v>
      </c>
      <c r="L148" s="139" t="str">
        <f t="shared" si="23"/>
        <v>31</v>
      </c>
    </row>
    <row r="149" spans="1:23">
      <c r="A149" s="149">
        <v>52</v>
      </c>
      <c r="B149" s="258" t="str">
        <f t="shared" si="28"/>
        <v>Ostale pomoći</v>
      </c>
      <c r="C149" s="149">
        <v>3211</v>
      </c>
      <c r="D149" s="258" t="str">
        <f t="shared" si="29"/>
        <v>Službena putovanja</v>
      </c>
      <c r="E149" s="183" t="s">
        <v>2469</v>
      </c>
      <c r="F149" s="258" t="str">
        <f>IFERROR(VLOOKUP(E149,$V$7:$W$1103,2,FALSE),"")</f>
        <v>SHEMA  Proizvodnja hrane u kružnom biog</v>
      </c>
      <c r="G149" s="182">
        <v>16551.833121230564</v>
      </c>
      <c r="H149" s="182">
        <v>28253.870000000003</v>
      </c>
      <c r="I149" s="182">
        <f t="shared" si="21"/>
        <v>11702.036878769439</v>
      </c>
      <c r="K149" s="139" t="str">
        <f t="shared" si="22"/>
        <v>321</v>
      </c>
      <c r="L149" s="139" t="str">
        <f t="shared" si="23"/>
        <v>32</v>
      </c>
      <c r="P149" s="139">
        <v>4123</v>
      </c>
      <c r="Q149" s="139" t="s">
        <v>132</v>
      </c>
      <c r="S149" s="139" t="str">
        <f t="shared" si="26"/>
        <v>41</v>
      </c>
      <c r="T149" s="139" t="str">
        <f t="shared" si="27"/>
        <v>412</v>
      </c>
      <c r="V149" s="139" t="s">
        <v>807</v>
      </c>
      <c r="W149" s="139" t="s">
        <v>808</v>
      </c>
    </row>
    <row r="150" spans="1:23">
      <c r="A150" s="149">
        <v>52</v>
      </c>
      <c r="B150" s="258" t="str">
        <f t="shared" si="28"/>
        <v>Ostale pomoći</v>
      </c>
      <c r="C150" s="149">
        <v>3212</v>
      </c>
      <c r="D150" s="258" t="str">
        <f t="shared" si="29"/>
        <v>Naknade za prijevoz, za rad na terenu i odvojeni život</v>
      </c>
      <c r="E150" s="183" t="s">
        <v>2469</v>
      </c>
      <c r="F150" s="258" t="str">
        <f t="shared" ref="F150:F160" si="32">IFERROR(VLOOKUP(E150,$V$7:$W$1103,2,FALSE),"")</f>
        <v>SHEMA  Proizvodnja hrane u kružnom biog</v>
      </c>
      <c r="G150" s="182">
        <v>4135.1337354064071</v>
      </c>
      <c r="H150" s="182">
        <v>7250</v>
      </c>
      <c r="I150" s="182">
        <f t="shared" si="21"/>
        <v>3114.8662645935929</v>
      </c>
      <c r="K150" s="139" t="str">
        <f t="shared" si="22"/>
        <v>321</v>
      </c>
      <c r="L150" s="139" t="str">
        <f t="shared" si="23"/>
        <v>32</v>
      </c>
      <c r="P150" s="139">
        <v>4124</v>
      </c>
      <c r="Q150" s="139" t="s">
        <v>118</v>
      </c>
      <c r="S150" s="139" t="str">
        <f t="shared" si="26"/>
        <v>41</v>
      </c>
      <c r="T150" s="139" t="str">
        <f t="shared" si="27"/>
        <v>412</v>
      </c>
      <c r="V150" s="139" t="s">
        <v>809</v>
      </c>
      <c r="W150" s="139" t="s">
        <v>810</v>
      </c>
    </row>
    <row r="151" spans="1:23">
      <c r="A151" s="149">
        <v>52</v>
      </c>
      <c r="B151" s="258" t="str">
        <f t="shared" si="28"/>
        <v>Ostale pomoći</v>
      </c>
      <c r="C151" s="149">
        <v>3213</v>
      </c>
      <c r="D151" s="258" t="str">
        <f t="shared" si="29"/>
        <v>Stručno usavršavanje zaposlenika</v>
      </c>
      <c r="E151" s="183" t="s">
        <v>2469</v>
      </c>
      <c r="F151" s="258" t="str">
        <f t="shared" si="32"/>
        <v>SHEMA  Proizvodnja hrane u kružnom biog</v>
      </c>
      <c r="G151" s="182">
        <v>0</v>
      </c>
      <c r="H151" s="182">
        <v>2100</v>
      </c>
      <c r="I151" s="182">
        <f t="shared" si="21"/>
        <v>2100</v>
      </c>
      <c r="K151" s="139" t="str">
        <f t="shared" si="22"/>
        <v>321</v>
      </c>
      <c r="L151" s="139" t="str">
        <f t="shared" si="23"/>
        <v>32</v>
      </c>
    </row>
    <row r="152" spans="1:23">
      <c r="A152" s="149">
        <v>52</v>
      </c>
      <c r="B152" s="258" t="str">
        <f t="shared" si="28"/>
        <v>Ostale pomoći</v>
      </c>
      <c r="C152" s="149">
        <v>3221</v>
      </c>
      <c r="D152" s="258" t="str">
        <f t="shared" si="29"/>
        <v>Uredski materijal i ostali materijalni rashodi</v>
      </c>
      <c r="E152" s="183" t="s">
        <v>2469</v>
      </c>
      <c r="F152" s="258" t="str">
        <f t="shared" si="32"/>
        <v>SHEMA  Proizvodnja hrane u kružnom biog</v>
      </c>
      <c r="G152" s="182">
        <v>28245.449012338846</v>
      </c>
      <c r="H152" s="182">
        <v>21708.080000000002</v>
      </c>
      <c r="I152" s="182">
        <f t="shared" si="21"/>
        <v>-6537.3690123388442</v>
      </c>
      <c r="K152" s="139" t="str">
        <f t="shared" si="22"/>
        <v>322</v>
      </c>
      <c r="L152" s="139" t="str">
        <f t="shared" si="23"/>
        <v>32</v>
      </c>
      <c r="P152" s="139">
        <v>4126</v>
      </c>
      <c r="Q152" s="139" t="s">
        <v>162</v>
      </c>
      <c r="S152" s="139" t="str">
        <f t="shared" si="26"/>
        <v>41</v>
      </c>
      <c r="T152" s="139" t="str">
        <f t="shared" si="27"/>
        <v>412</v>
      </c>
      <c r="V152" s="139" t="s">
        <v>811</v>
      </c>
      <c r="W152" s="139" t="s">
        <v>812</v>
      </c>
    </row>
    <row r="153" spans="1:23">
      <c r="A153" s="149">
        <v>52</v>
      </c>
      <c r="B153" s="258" t="str">
        <f t="shared" si="28"/>
        <v>Ostale pomoći</v>
      </c>
      <c r="C153" s="149">
        <v>3231</v>
      </c>
      <c r="D153" s="258" t="str">
        <f t="shared" si="29"/>
        <v>Usluge telefona, pošte i prijevoza</v>
      </c>
      <c r="E153" s="183" t="s">
        <v>2469</v>
      </c>
      <c r="F153" s="258" t="str">
        <f t="shared" si="32"/>
        <v>SHEMA  Proizvodnja hrane u kružnom biog</v>
      </c>
      <c r="G153" s="182">
        <v>0</v>
      </c>
      <c r="H153" s="182">
        <v>43.87</v>
      </c>
      <c r="I153" s="182">
        <f t="shared" si="21"/>
        <v>43.87</v>
      </c>
      <c r="K153" s="139" t="str">
        <f t="shared" si="22"/>
        <v>323</v>
      </c>
      <c r="L153" s="139" t="str">
        <f t="shared" si="23"/>
        <v>32</v>
      </c>
    </row>
    <row r="154" spans="1:23">
      <c r="A154" s="149">
        <v>52</v>
      </c>
      <c r="B154" s="258" t="str">
        <f t="shared" si="28"/>
        <v>Ostale pomoći</v>
      </c>
      <c r="C154" s="149">
        <v>3233</v>
      </c>
      <c r="D154" s="258" t="str">
        <f t="shared" si="29"/>
        <v>Usluge promidžbe i informiranja</v>
      </c>
      <c r="E154" s="183" t="s">
        <v>2469</v>
      </c>
      <c r="F154" s="258" t="str">
        <f t="shared" si="32"/>
        <v>SHEMA  Proizvodnja hrane u kružnom biog</v>
      </c>
      <c r="G154" s="182">
        <v>0</v>
      </c>
      <c r="H154" s="182">
        <v>606.25</v>
      </c>
      <c r="I154" s="182">
        <f t="shared" si="21"/>
        <v>606.25</v>
      </c>
      <c r="K154" s="139" t="str">
        <f t="shared" si="22"/>
        <v>323</v>
      </c>
      <c r="L154" s="139" t="str">
        <f t="shared" si="23"/>
        <v>32</v>
      </c>
    </row>
    <row r="155" spans="1:23">
      <c r="A155" s="149">
        <v>52</v>
      </c>
      <c r="B155" s="258" t="str">
        <f t="shared" si="28"/>
        <v>Ostale pomoći</v>
      </c>
      <c r="C155" s="149">
        <v>3235</v>
      </c>
      <c r="D155" s="258"/>
      <c r="E155" s="183" t="s">
        <v>2469</v>
      </c>
      <c r="F155" s="258" t="str">
        <f t="shared" si="32"/>
        <v>SHEMA  Proizvodnja hrane u kružnom biog</v>
      </c>
      <c r="G155" s="182">
        <v>0</v>
      </c>
      <c r="H155" s="182">
        <v>25137.58</v>
      </c>
      <c r="I155" s="182">
        <f t="shared" si="21"/>
        <v>25137.58</v>
      </c>
    </row>
    <row r="156" spans="1:23">
      <c r="A156" s="149">
        <v>52</v>
      </c>
      <c r="B156" s="258" t="str">
        <f t="shared" si="28"/>
        <v>Ostale pomoći</v>
      </c>
      <c r="C156" s="149">
        <v>3237</v>
      </c>
      <c r="D156" s="258"/>
      <c r="E156" s="183" t="s">
        <v>2469</v>
      </c>
      <c r="F156" s="258" t="str">
        <f t="shared" si="32"/>
        <v>SHEMA  Proizvodnja hrane u kružnom biog</v>
      </c>
      <c r="G156" s="182">
        <v>0</v>
      </c>
      <c r="H156" s="182">
        <v>5972.23</v>
      </c>
      <c r="I156" s="182">
        <f t="shared" si="21"/>
        <v>5972.23</v>
      </c>
    </row>
    <row r="157" spans="1:23">
      <c r="A157" s="149">
        <v>52</v>
      </c>
      <c r="B157" s="258" t="str">
        <f t="shared" si="28"/>
        <v>Ostale pomoći</v>
      </c>
      <c r="C157" s="149">
        <v>3239</v>
      </c>
      <c r="D157" s="258" t="str">
        <f t="shared" si="29"/>
        <v>Ostale usluge</v>
      </c>
      <c r="E157" s="183" t="s">
        <v>2469</v>
      </c>
      <c r="F157" s="258" t="str">
        <f t="shared" si="32"/>
        <v>SHEMA  Proizvodnja hrane u kružnom biog</v>
      </c>
      <c r="G157" s="182">
        <v>63269.805787639016</v>
      </c>
      <c r="H157" s="182">
        <v>7250</v>
      </c>
      <c r="I157" s="182">
        <f t="shared" si="21"/>
        <v>-56019.805787639016</v>
      </c>
      <c r="K157" s="139" t="str">
        <f t="shared" si="22"/>
        <v>323</v>
      </c>
      <c r="L157" s="139" t="str">
        <f t="shared" si="23"/>
        <v>32</v>
      </c>
      <c r="P157" s="139">
        <v>4211</v>
      </c>
      <c r="Q157" s="139" t="s">
        <v>176</v>
      </c>
      <c r="S157" s="139" t="str">
        <f t="shared" si="26"/>
        <v>42</v>
      </c>
      <c r="T157" s="139" t="str">
        <f t="shared" si="27"/>
        <v>421</v>
      </c>
      <c r="V157" s="139" t="s">
        <v>813</v>
      </c>
      <c r="W157" s="139" t="s">
        <v>814</v>
      </c>
    </row>
    <row r="158" spans="1:23">
      <c r="A158" s="149">
        <v>52</v>
      </c>
      <c r="B158" s="258" t="str">
        <f t="shared" si="28"/>
        <v>Ostale pomoći</v>
      </c>
      <c r="C158" s="149">
        <v>3293</v>
      </c>
      <c r="D158" s="258"/>
      <c r="E158" s="183" t="s">
        <v>2469</v>
      </c>
      <c r="F158" s="258" t="str">
        <f t="shared" si="32"/>
        <v>SHEMA  Proizvodnja hrane u kružnom biog</v>
      </c>
      <c r="G158" s="182">
        <v>0</v>
      </c>
      <c r="H158" s="182">
        <v>14410.5</v>
      </c>
      <c r="I158" s="182">
        <f t="shared" si="21"/>
        <v>14410.5</v>
      </c>
    </row>
    <row r="159" spans="1:23">
      <c r="A159" s="149">
        <v>52</v>
      </c>
      <c r="B159" s="258" t="str">
        <f t="shared" si="28"/>
        <v>Ostale pomoći</v>
      </c>
      <c r="C159" s="149">
        <v>3693</v>
      </c>
      <c r="D159" s="258"/>
      <c r="E159" s="183" t="s">
        <v>2469</v>
      </c>
      <c r="F159" s="258" t="str">
        <f t="shared" si="32"/>
        <v>SHEMA  Proizvodnja hrane u kružnom biog</v>
      </c>
      <c r="G159" s="182">
        <v>0</v>
      </c>
      <c r="H159" s="182">
        <v>289808</v>
      </c>
      <c r="I159" s="182">
        <f t="shared" si="21"/>
        <v>289808</v>
      </c>
    </row>
    <row r="160" spans="1:23">
      <c r="A160" s="149">
        <v>52</v>
      </c>
      <c r="B160" s="258" t="str">
        <f t="shared" si="28"/>
        <v>Ostale pomoći</v>
      </c>
      <c r="C160" s="149">
        <v>4224</v>
      </c>
      <c r="D160" s="258" t="str">
        <f t="shared" si="29"/>
        <v>Medicinska i laboratorijska oprema</v>
      </c>
      <c r="E160" s="183" t="s">
        <v>2469</v>
      </c>
      <c r="F160" s="258" t="str">
        <f t="shared" si="32"/>
        <v>SHEMA  Proizvodnja hrane u kružnom biog</v>
      </c>
      <c r="G160" s="182">
        <v>16947.26940740331</v>
      </c>
      <c r="H160" s="182">
        <v>0</v>
      </c>
      <c r="I160" s="182">
        <f t="shared" si="21"/>
        <v>-16947.26940740331</v>
      </c>
      <c r="K160" s="139" t="str">
        <f t="shared" si="22"/>
        <v>422</v>
      </c>
      <c r="L160" s="139" t="str">
        <f t="shared" si="23"/>
        <v>42</v>
      </c>
      <c r="P160" s="139">
        <v>4212</v>
      </c>
      <c r="Q160" s="139" t="s">
        <v>64</v>
      </c>
      <c r="S160" s="139" t="str">
        <f t="shared" si="26"/>
        <v>42</v>
      </c>
      <c r="T160" s="139" t="str">
        <f t="shared" si="27"/>
        <v>421</v>
      </c>
      <c r="V160" s="139" t="s">
        <v>815</v>
      </c>
      <c r="W160" s="139" t="s">
        <v>816</v>
      </c>
    </row>
    <row r="161" spans="1:23">
      <c r="A161" s="149">
        <v>52</v>
      </c>
      <c r="B161" s="258" t="str">
        <f t="shared" si="28"/>
        <v>Ostale pomoći</v>
      </c>
      <c r="C161" s="149">
        <v>4241</v>
      </c>
      <c r="D161" s="258" t="str">
        <f t="shared" si="29"/>
        <v>Knjige</v>
      </c>
      <c r="E161" s="183" t="s">
        <v>2469</v>
      </c>
      <c r="F161" s="258" t="str">
        <f>IFERROR(VLOOKUP(E161,$V$7:$W$1103,2,FALSE),"")</f>
        <v>SHEMA  Proizvodnja hrane u kružnom biog</v>
      </c>
      <c r="G161" s="182">
        <v>0</v>
      </c>
      <c r="H161" s="182">
        <v>0</v>
      </c>
      <c r="I161" s="182">
        <f t="shared" si="21"/>
        <v>0</v>
      </c>
      <c r="K161" s="139" t="str">
        <f t="shared" si="22"/>
        <v>424</v>
      </c>
      <c r="L161" s="139" t="str">
        <f t="shared" si="23"/>
        <v>42</v>
      </c>
      <c r="P161" s="139">
        <v>4213</v>
      </c>
      <c r="Q161" s="139" t="s">
        <v>163</v>
      </c>
      <c r="S161" s="139" t="str">
        <f t="shared" si="26"/>
        <v>42</v>
      </c>
      <c r="T161" s="139" t="str">
        <f t="shared" si="27"/>
        <v>421</v>
      </c>
      <c r="V161" s="139" t="s">
        <v>817</v>
      </c>
      <c r="W161" s="139" t="s">
        <v>818</v>
      </c>
    </row>
    <row r="162" spans="1:23">
      <c r="A162" s="149">
        <v>12</v>
      </c>
      <c r="B162" s="258" t="str">
        <f t="shared" si="28"/>
        <v>Sredstva učešća za pomoći</v>
      </c>
      <c r="C162" s="149">
        <v>3111</v>
      </c>
      <c r="D162" s="258" t="str">
        <f t="shared" si="29"/>
        <v>Plaće za redovan rad</v>
      </c>
      <c r="E162" s="183" t="s">
        <v>991</v>
      </c>
      <c r="F162" s="258" t="str">
        <f>IFERROR(VLOOKUP(E162,$V$7:$W$1103,2,FALSE),"")</f>
        <v>Provedba HKO-a na razini visokog obrazovanja</v>
      </c>
      <c r="G162" s="182">
        <v>27846</v>
      </c>
      <c r="H162" s="182">
        <v>9938.91</v>
      </c>
      <c r="I162" s="182">
        <f t="shared" si="21"/>
        <v>-17907.09</v>
      </c>
      <c r="K162" s="139" t="str">
        <f t="shared" si="22"/>
        <v>311</v>
      </c>
      <c r="L162" s="139" t="str">
        <f t="shared" si="23"/>
        <v>31</v>
      </c>
      <c r="P162" s="139">
        <v>4221</v>
      </c>
      <c r="Q162" s="139" t="s">
        <v>99</v>
      </c>
      <c r="S162" s="139" t="str">
        <f t="shared" si="26"/>
        <v>42</v>
      </c>
      <c r="T162" s="139" t="str">
        <f t="shared" si="27"/>
        <v>422</v>
      </c>
      <c r="V162" s="139" t="s">
        <v>821</v>
      </c>
      <c r="W162" s="139" t="s">
        <v>822</v>
      </c>
    </row>
    <row r="163" spans="1:23">
      <c r="A163" s="149">
        <v>561</v>
      </c>
      <c r="B163" s="258" t="str">
        <f t="shared" si="28"/>
        <v>Europski socijalni fond (ESF)</v>
      </c>
      <c r="C163" s="149">
        <v>3111</v>
      </c>
      <c r="D163" s="258" t="str">
        <f t="shared" si="29"/>
        <v>Plaće za redovan rad</v>
      </c>
      <c r="E163" s="183" t="s">
        <v>991</v>
      </c>
      <c r="F163" s="258" t="str">
        <f>IFERROR(VLOOKUP(E163,$V$7:$W$1103,2,FALSE),"")</f>
        <v>Provedba HKO-a na razini visokog obrazovanja</v>
      </c>
      <c r="G163" s="182">
        <v>157794</v>
      </c>
      <c r="H163" s="182">
        <v>56320.5</v>
      </c>
      <c r="I163" s="182">
        <f t="shared" si="21"/>
        <v>-101473.5</v>
      </c>
      <c r="K163" s="139" t="str">
        <f t="shared" si="22"/>
        <v>311</v>
      </c>
      <c r="L163" s="139" t="str">
        <f t="shared" si="23"/>
        <v>31</v>
      </c>
      <c r="P163" s="139">
        <v>4222</v>
      </c>
      <c r="Q163" s="139" t="s">
        <v>110</v>
      </c>
      <c r="S163" s="139" t="str">
        <f t="shared" si="26"/>
        <v>42</v>
      </c>
      <c r="T163" s="139" t="str">
        <f t="shared" si="27"/>
        <v>422</v>
      </c>
      <c r="V163" s="139" t="s">
        <v>823</v>
      </c>
      <c r="W163" s="139" t="s">
        <v>824</v>
      </c>
    </row>
    <row r="164" spans="1:23">
      <c r="A164" s="149">
        <v>12</v>
      </c>
      <c r="B164" s="258" t="str">
        <f t="shared" si="28"/>
        <v>Sredstva učešća za pomoći</v>
      </c>
      <c r="C164" s="149">
        <v>3132</v>
      </c>
      <c r="D164" s="258" t="str">
        <f t="shared" si="29"/>
        <v/>
      </c>
      <c r="E164" s="183" t="s">
        <v>991</v>
      </c>
      <c r="F164" s="258" t="str">
        <f>IFERROR(VLOOKUP(E164,$V$7:$W$1103,2,FALSE),"")</f>
        <v>Provedba HKO-a na razini visokog obrazovanja</v>
      </c>
      <c r="G164" s="182">
        <v>5304</v>
      </c>
      <c r="H164" s="182">
        <v>1588.74</v>
      </c>
      <c r="I164" s="182">
        <f t="shared" si="21"/>
        <v>-3715.26</v>
      </c>
      <c r="K164" s="139" t="str">
        <f t="shared" si="22"/>
        <v>313</v>
      </c>
      <c r="L164" s="139" t="str">
        <f t="shared" si="23"/>
        <v>31</v>
      </c>
      <c r="P164" s="139">
        <v>4223</v>
      </c>
      <c r="Q164" s="139" t="s">
        <v>123</v>
      </c>
      <c r="S164" s="139" t="str">
        <f t="shared" si="26"/>
        <v>42</v>
      </c>
      <c r="T164" s="139" t="str">
        <f t="shared" si="27"/>
        <v>422</v>
      </c>
      <c r="V164" s="139" t="s">
        <v>825</v>
      </c>
      <c r="W164" s="139" t="s">
        <v>826</v>
      </c>
    </row>
    <row r="165" spans="1:23">
      <c r="A165" s="149">
        <v>561</v>
      </c>
      <c r="B165" s="258" t="str">
        <f t="shared" si="28"/>
        <v>Europski socijalni fond (ESF)</v>
      </c>
      <c r="C165" s="149">
        <v>3132</v>
      </c>
      <c r="D165" s="258" t="str">
        <f t="shared" si="29"/>
        <v/>
      </c>
      <c r="E165" s="183" t="s">
        <v>991</v>
      </c>
      <c r="F165" s="258" t="str">
        <f>IFERROR(VLOOKUP(E165,$V$7:$W$1103,2,FALSE),"")</f>
        <v>Provedba HKO-a na razini visokog obrazovanja</v>
      </c>
      <c r="G165" s="182">
        <v>30056</v>
      </c>
      <c r="H165" s="182">
        <v>9002.85</v>
      </c>
      <c r="I165" s="182">
        <f t="shared" si="21"/>
        <v>-21053.15</v>
      </c>
      <c r="K165" s="139" t="str">
        <f t="shared" si="22"/>
        <v>313</v>
      </c>
      <c r="L165" s="139" t="str">
        <f t="shared" si="23"/>
        <v>31</v>
      </c>
      <c r="P165" s="139">
        <v>4224</v>
      </c>
      <c r="Q165" s="139" t="s">
        <v>116</v>
      </c>
      <c r="S165" s="139" t="str">
        <f t="shared" si="26"/>
        <v>42</v>
      </c>
      <c r="T165" s="139" t="str">
        <f t="shared" si="27"/>
        <v>422</v>
      </c>
      <c r="V165" s="139" t="s">
        <v>827</v>
      </c>
      <c r="W165" s="139" t="s">
        <v>828</v>
      </c>
    </row>
    <row r="166" spans="1:23">
      <c r="A166" s="149">
        <v>561</v>
      </c>
      <c r="B166" s="258" t="str">
        <f t="shared" si="28"/>
        <v>Europski socijalni fond (ESF)</v>
      </c>
      <c r="C166" s="149" t="s">
        <v>3516</v>
      </c>
      <c r="D166" s="258"/>
      <c r="E166" s="183" t="s">
        <v>991</v>
      </c>
      <c r="F166" s="258" t="str">
        <f t="shared" ref="F166:F173" si="33">IFERROR(VLOOKUP(E166,$V$7:$W$1103,2,FALSE),"")</f>
        <v>Provedba HKO-a na razini visokog obrazovanja</v>
      </c>
      <c r="G166" s="182">
        <v>0</v>
      </c>
      <c r="H166" s="182">
        <v>850</v>
      </c>
      <c r="I166" s="182">
        <f t="shared" si="21"/>
        <v>850</v>
      </c>
    </row>
    <row r="167" spans="1:23">
      <c r="A167" s="149">
        <v>561</v>
      </c>
      <c r="B167" s="258" t="str">
        <f t="shared" si="28"/>
        <v>Europski socijalni fond (ESF)</v>
      </c>
      <c r="C167" s="149" t="s">
        <v>3504</v>
      </c>
      <c r="D167" s="258"/>
      <c r="E167" s="183" t="s">
        <v>991</v>
      </c>
      <c r="F167" s="258" t="str">
        <f t="shared" si="33"/>
        <v>Provedba HKO-a na razini visokog obrazovanja</v>
      </c>
      <c r="G167" s="182">
        <v>0</v>
      </c>
      <c r="H167" s="182">
        <v>31875</v>
      </c>
      <c r="I167" s="182">
        <f t="shared" si="21"/>
        <v>31875</v>
      </c>
    </row>
    <row r="168" spans="1:23">
      <c r="A168" s="149">
        <v>561</v>
      </c>
      <c r="B168" s="258" t="str">
        <f t="shared" si="28"/>
        <v>Europski socijalni fond (ESF)</v>
      </c>
      <c r="C168" s="149" t="s">
        <v>3517</v>
      </c>
      <c r="D168" s="258"/>
      <c r="E168" s="183" t="s">
        <v>991</v>
      </c>
      <c r="F168" s="258" t="str">
        <f t="shared" si="33"/>
        <v>Provedba HKO-a na razini visokog obrazovanja</v>
      </c>
      <c r="G168" s="182">
        <v>0</v>
      </c>
      <c r="H168" s="182">
        <v>10093.75</v>
      </c>
      <c r="I168" s="182">
        <f t="shared" si="21"/>
        <v>10093.75</v>
      </c>
    </row>
    <row r="169" spans="1:23">
      <c r="A169" s="149">
        <v>561</v>
      </c>
      <c r="B169" s="258" t="str">
        <f t="shared" si="28"/>
        <v>Europski socijalni fond (ESF)</v>
      </c>
      <c r="C169" s="149" t="s">
        <v>3506</v>
      </c>
      <c r="D169" s="258"/>
      <c r="E169" s="183" t="s">
        <v>991</v>
      </c>
      <c r="F169" s="258" t="str">
        <f t="shared" si="33"/>
        <v>Provedba HKO-a na razini visokog obrazovanja</v>
      </c>
      <c r="G169" s="182">
        <v>0</v>
      </c>
      <c r="H169" s="182">
        <v>320999.37</v>
      </c>
      <c r="I169" s="182">
        <f t="shared" si="21"/>
        <v>320999.37</v>
      </c>
    </row>
    <row r="170" spans="1:23">
      <c r="A170" s="149">
        <v>561</v>
      </c>
      <c r="B170" s="258" t="str">
        <f t="shared" si="28"/>
        <v>Europski socijalni fond (ESF)</v>
      </c>
      <c r="C170" s="149" t="s">
        <v>3507</v>
      </c>
      <c r="D170" s="258"/>
      <c r="E170" s="183" t="s">
        <v>991</v>
      </c>
      <c r="F170" s="258" t="str">
        <f t="shared" si="33"/>
        <v>Provedba HKO-a na razini visokog obrazovanja</v>
      </c>
      <c r="G170" s="182">
        <v>0</v>
      </c>
      <c r="H170" s="182">
        <v>91958.37</v>
      </c>
      <c r="I170" s="182">
        <f t="shared" si="21"/>
        <v>91958.37</v>
      </c>
    </row>
    <row r="171" spans="1:23">
      <c r="A171" s="149">
        <v>561</v>
      </c>
      <c r="B171" s="258" t="str">
        <f t="shared" si="28"/>
        <v>Europski socijalni fond (ESF)</v>
      </c>
      <c r="C171" s="149" t="s">
        <v>3508</v>
      </c>
      <c r="D171" s="258"/>
      <c r="E171" s="183" t="s">
        <v>991</v>
      </c>
      <c r="F171" s="258" t="str">
        <f t="shared" si="33"/>
        <v>Provedba HKO-a na razini visokog obrazovanja</v>
      </c>
      <c r="G171" s="182">
        <v>0</v>
      </c>
      <c r="H171" s="182">
        <v>4713.25</v>
      </c>
      <c r="I171" s="182">
        <f t="shared" si="21"/>
        <v>4713.25</v>
      </c>
    </row>
    <row r="172" spans="1:23">
      <c r="A172" s="149">
        <v>561</v>
      </c>
      <c r="B172" s="258" t="str">
        <f t="shared" si="28"/>
        <v>Europski socijalni fond (ESF)</v>
      </c>
      <c r="C172" s="149" t="s">
        <v>3495</v>
      </c>
      <c r="D172" s="258"/>
      <c r="E172" s="183" t="s">
        <v>991</v>
      </c>
      <c r="F172" s="258" t="str">
        <f t="shared" si="33"/>
        <v>Provedba HKO-a na razini visokog obrazovanja</v>
      </c>
      <c r="G172" s="182">
        <v>0</v>
      </c>
      <c r="H172" s="182">
        <v>25089.88</v>
      </c>
      <c r="I172" s="182">
        <f t="shared" si="21"/>
        <v>25089.88</v>
      </c>
    </row>
    <row r="173" spans="1:23">
      <c r="A173" s="149">
        <v>561</v>
      </c>
      <c r="B173" s="258" t="str">
        <f t="shared" si="28"/>
        <v>Europski socijalni fond (ESF)</v>
      </c>
      <c r="C173" s="149" t="s">
        <v>3497</v>
      </c>
      <c r="D173" s="258"/>
      <c r="E173" s="183" t="s">
        <v>991</v>
      </c>
      <c r="F173" s="258" t="str">
        <f t="shared" si="33"/>
        <v>Provedba HKO-a na razini visokog obrazovanja</v>
      </c>
      <c r="G173" s="182">
        <v>0</v>
      </c>
      <c r="H173" s="182">
        <v>346.39</v>
      </c>
      <c r="I173" s="182">
        <f t="shared" si="21"/>
        <v>346.39</v>
      </c>
    </row>
    <row r="174" spans="1:23">
      <c r="A174" s="149">
        <v>12</v>
      </c>
      <c r="B174" s="258" t="str">
        <f t="shared" si="28"/>
        <v>Sredstva učešća za pomoći</v>
      </c>
      <c r="C174" s="149">
        <v>3212</v>
      </c>
      <c r="D174" s="258" t="str">
        <f t="shared" si="29"/>
        <v>Naknade za prijevoz, za rad na terenu i odvojeni život</v>
      </c>
      <c r="E174" s="183" t="s">
        <v>991</v>
      </c>
      <c r="F174" s="258" t="str">
        <f t="shared" ref="F174:F181" si="34">IFERROR(VLOOKUP(E174,$V$7:$W$1103,2,FALSE),"")</f>
        <v>Provedba HKO-a na razini visokog obrazovanja</v>
      </c>
      <c r="G174" s="182">
        <v>0</v>
      </c>
      <c r="H174" s="182">
        <v>150</v>
      </c>
      <c r="I174" s="182">
        <f t="shared" si="21"/>
        <v>150</v>
      </c>
      <c r="K174" s="139" t="str">
        <f t="shared" si="22"/>
        <v>321</v>
      </c>
      <c r="L174" s="139" t="str">
        <f t="shared" si="23"/>
        <v>32</v>
      </c>
    </row>
    <row r="175" spans="1:23">
      <c r="A175" s="149">
        <v>12</v>
      </c>
      <c r="B175" s="258" t="str">
        <f t="shared" si="28"/>
        <v>Sredstva učešća za pomoći</v>
      </c>
      <c r="C175" s="149">
        <v>3213</v>
      </c>
      <c r="D175" s="258" t="str">
        <f t="shared" si="29"/>
        <v>Stručno usavršavanje zaposlenika</v>
      </c>
      <c r="E175" s="183" t="s">
        <v>991</v>
      </c>
      <c r="F175" s="258" t="str">
        <f t="shared" si="34"/>
        <v>Provedba HKO-a na razini visokog obrazovanja</v>
      </c>
      <c r="G175" s="182">
        <v>0</v>
      </c>
      <c r="H175" s="182">
        <v>5625</v>
      </c>
      <c r="I175" s="182">
        <f t="shared" si="21"/>
        <v>5625</v>
      </c>
      <c r="K175" s="139" t="str">
        <f t="shared" si="22"/>
        <v>321</v>
      </c>
      <c r="L175" s="139" t="str">
        <f t="shared" si="23"/>
        <v>32</v>
      </c>
    </row>
    <row r="176" spans="1:23">
      <c r="A176" s="149">
        <v>12</v>
      </c>
      <c r="B176" s="258" t="str">
        <f t="shared" si="28"/>
        <v>Sredstva učešća za pomoći</v>
      </c>
      <c r="C176" s="149">
        <v>3233</v>
      </c>
      <c r="D176" s="258" t="str">
        <f t="shared" si="29"/>
        <v>Usluge promidžbe i informiranja</v>
      </c>
      <c r="E176" s="183" t="s">
        <v>991</v>
      </c>
      <c r="F176" s="258" t="str">
        <f t="shared" si="34"/>
        <v>Provedba HKO-a na razini visokog obrazovanja</v>
      </c>
      <c r="G176" s="182">
        <v>0</v>
      </c>
      <c r="H176" s="182">
        <v>1781.25</v>
      </c>
      <c r="I176" s="182">
        <f t="shared" si="21"/>
        <v>1781.25</v>
      </c>
      <c r="K176" s="139" t="str">
        <f t="shared" si="22"/>
        <v>323</v>
      </c>
      <c r="L176" s="139" t="str">
        <f t="shared" si="23"/>
        <v>32</v>
      </c>
    </row>
    <row r="177" spans="1:23">
      <c r="A177" s="149">
        <v>12</v>
      </c>
      <c r="B177" s="258" t="str">
        <f t="shared" si="28"/>
        <v>Sredstva učešća za pomoći</v>
      </c>
      <c r="C177" s="149">
        <v>3237</v>
      </c>
      <c r="D177" s="258" t="str">
        <f t="shared" si="29"/>
        <v>Intelektualne i osobne usluge</v>
      </c>
      <c r="E177" s="183" t="s">
        <v>991</v>
      </c>
      <c r="F177" s="258" t="str">
        <f t="shared" si="34"/>
        <v>Provedba HKO-a na razini visokog obrazovanja</v>
      </c>
      <c r="G177" s="182">
        <v>0</v>
      </c>
      <c r="H177" s="182">
        <v>56646.96</v>
      </c>
      <c r="I177" s="182">
        <f t="shared" si="21"/>
        <v>56646.96</v>
      </c>
      <c r="K177" s="139" t="str">
        <f t="shared" si="22"/>
        <v>323</v>
      </c>
      <c r="L177" s="139" t="str">
        <f t="shared" si="23"/>
        <v>32</v>
      </c>
    </row>
    <row r="178" spans="1:23">
      <c r="A178" s="149">
        <v>12</v>
      </c>
      <c r="B178" s="258" t="str">
        <f t="shared" si="28"/>
        <v>Sredstva učešća za pomoći</v>
      </c>
      <c r="C178" s="149">
        <v>3239</v>
      </c>
      <c r="D178" s="258" t="str">
        <f t="shared" si="29"/>
        <v>Ostale usluge</v>
      </c>
      <c r="E178" s="183" t="s">
        <v>991</v>
      </c>
      <c r="F178" s="258" t="str">
        <f t="shared" si="34"/>
        <v>Provedba HKO-a na razini visokog obrazovanja</v>
      </c>
      <c r="G178" s="182">
        <v>0</v>
      </c>
      <c r="H178" s="182">
        <v>16227.96</v>
      </c>
      <c r="I178" s="182">
        <f t="shared" si="21"/>
        <v>16227.96</v>
      </c>
      <c r="K178" s="139" t="str">
        <f t="shared" si="22"/>
        <v>323</v>
      </c>
      <c r="L178" s="139" t="str">
        <f t="shared" si="23"/>
        <v>32</v>
      </c>
    </row>
    <row r="179" spans="1:23">
      <c r="A179" s="149">
        <v>12</v>
      </c>
      <c r="B179" s="258" t="str">
        <f t="shared" si="28"/>
        <v>Sredstva učešća za pomoći</v>
      </c>
      <c r="C179" s="149">
        <v>3241</v>
      </c>
      <c r="D179" s="258" t="str">
        <f t="shared" si="29"/>
        <v>Naknade troškova osobama izvan radnog odnosa</v>
      </c>
      <c r="E179" s="183" t="s">
        <v>991</v>
      </c>
      <c r="F179" s="258" t="str">
        <f t="shared" si="34"/>
        <v>Provedba HKO-a na razini visokog obrazovanja</v>
      </c>
      <c r="G179" s="182">
        <v>0</v>
      </c>
      <c r="H179" s="182">
        <v>831.75</v>
      </c>
      <c r="I179" s="182">
        <f t="shared" si="21"/>
        <v>831.75</v>
      </c>
      <c r="K179" s="139" t="str">
        <f t="shared" si="22"/>
        <v>324</v>
      </c>
      <c r="L179" s="139" t="str">
        <f t="shared" si="23"/>
        <v>32</v>
      </c>
    </row>
    <row r="180" spans="1:23">
      <c r="A180" s="149">
        <v>12</v>
      </c>
      <c r="B180" s="258" t="str">
        <f t="shared" si="28"/>
        <v>Sredstva učešća za pomoći</v>
      </c>
      <c r="C180" s="149">
        <v>3293</v>
      </c>
      <c r="D180" s="258" t="str">
        <f t="shared" si="29"/>
        <v xml:space="preserve">  Reprezentacija</v>
      </c>
      <c r="E180" s="183" t="s">
        <v>991</v>
      </c>
      <c r="F180" s="258" t="str">
        <f t="shared" si="34"/>
        <v>Provedba HKO-a na razini visokog obrazovanja</v>
      </c>
      <c r="G180" s="182">
        <v>0</v>
      </c>
      <c r="H180" s="182">
        <v>4427.63</v>
      </c>
      <c r="I180" s="182">
        <f t="shared" si="21"/>
        <v>4427.63</v>
      </c>
      <c r="K180" s="139" t="str">
        <f t="shared" si="22"/>
        <v>329</v>
      </c>
      <c r="L180" s="139" t="str">
        <f t="shared" si="23"/>
        <v>32</v>
      </c>
    </row>
    <row r="181" spans="1:23">
      <c r="A181" s="149">
        <v>12</v>
      </c>
      <c r="B181" s="258" t="str">
        <f t="shared" si="28"/>
        <v>Sredstva učešća za pomoći</v>
      </c>
      <c r="C181" s="149">
        <v>3431</v>
      </c>
      <c r="D181" s="258" t="str">
        <f t="shared" si="29"/>
        <v>Bankarske usluge i usluge platnog prometa</v>
      </c>
      <c r="E181" s="183" t="s">
        <v>991</v>
      </c>
      <c r="F181" s="258" t="str">
        <f t="shared" si="34"/>
        <v>Provedba HKO-a na razini visokog obrazovanja</v>
      </c>
      <c r="G181" s="182">
        <v>0</v>
      </c>
      <c r="H181" s="182">
        <v>61.11</v>
      </c>
      <c r="I181" s="182">
        <f t="shared" si="21"/>
        <v>61.11</v>
      </c>
      <c r="K181" s="139" t="str">
        <f t="shared" si="22"/>
        <v>343</v>
      </c>
      <c r="L181" s="139" t="str">
        <f t="shared" si="23"/>
        <v>34</v>
      </c>
    </row>
    <row r="182" spans="1:23">
      <c r="A182" s="149">
        <v>12</v>
      </c>
      <c r="B182" s="258" t="str">
        <f t="shared" si="28"/>
        <v>Sredstva učešća za pomoći</v>
      </c>
      <c r="C182" s="149">
        <v>3691</v>
      </c>
      <c r="D182" s="258" t="str">
        <f t="shared" si="29"/>
        <v>Tekući prijenosi između proračunskih korisnika istog proraču</v>
      </c>
      <c r="E182" s="183" t="s">
        <v>991</v>
      </c>
      <c r="F182" s="258" t="str">
        <f>IFERROR(VLOOKUP(E182,$V$7:$W$1103,2,FALSE),"")</f>
        <v>Provedba HKO-a na razini visokog obrazovanja</v>
      </c>
      <c r="G182" s="182">
        <v>15515</v>
      </c>
      <c r="H182" s="182">
        <v>66928.600000000006</v>
      </c>
      <c r="I182" s="182">
        <f t="shared" si="21"/>
        <v>51413.600000000006</v>
      </c>
      <c r="K182" s="139" t="str">
        <f t="shared" si="22"/>
        <v>369</v>
      </c>
      <c r="L182" s="139" t="str">
        <f t="shared" si="23"/>
        <v>36</v>
      </c>
      <c r="P182" s="139">
        <v>4225</v>
      </c>
      <c r="Q182" s="139" t="s">
        <v>120</v>
      </c>
      <c r="S182" s="139" t="str">
        <f t="shared" si="26"/>
        <v>42</v>
      </c>
      <c r="T182" s="139" t="str">
        <f t="shared" si="27"/>
        <v>422</v>
      </c>
      <c r="V182" s="139" t="s">
        <v>829</v>
      </c>
      <c r="W182" s="139" t="s">
        <v>830</v>
      </c>
    </row>
    <row r="183" spans="1:23">
      <c r="A183" s="149">
        <v>12</v>
      </c>
      <c r="B183" s="258" t="str">
        <f t="shared" si="28"/>
        <v>Sredstva učešća za pomoći</v>
      </c>
      <c r="C183" s="149">
        <v>4221</v>
      </c>
      <c r="D183" s="258" t="str">
        <f t="shared" si="29"/>
        <v>Uredska oprema i namještaj</v>
      </c>
      <c r="E183" s="183" t="s">
        <v>991</v>
      </c>
      <c r="F183" s="258" t="str">
        <f t="shared" ref="F183" si="35">IFERROR(VLOOKUP(E183,$V$7:$W$1103,2,FALSE),"")</f>
        <v>Provedba HKO-a na razini visokog obrazovanja</v>
      </c>
      <c r="G183" s="182">
        <v>0</v>
      </c>
      <c r="H183" s="182">
        <v>2015.12</v>
      </c>
      <c r="I183" s="182">
        <f t="shared" si="21"/>
        <v>2015.12</v>
      </c>
      <c r="K183" s="139" t="str">
        <f t="shared" si="22"/>
        <v>422</v>
      </c>
      <c r="L183" s="139" t="str">
        <f t="shared" si="23"/>
        <v>42</v>
      </c>
    </row>
    <row r="184" spans="1:23">
      <c r="A184" s="149">
        <v>561</v>
      </c>
      <c r="B184" s="258" t="str">
        <f t="shared" si="28"/>
        <v>Europski socijalni fond (ESF)</v>
      </c>
      <c r="C184" s="149">
        <v>3693</v>
      </c>
      <c r="D184" s="258" t="str">
        <f t="shared" si="29"/>
        <v>Tekući prijenosi između proračunskih korisnika istog proraču</v>
      </c>
      <c r="E184" s="183" t="s">
        <v>991</v>
      </c>
      <c r="F184" s="258" t="str">
        <f>IFERROR(VLOOKUP(E184,$V$7:$W$1103,2,FALSE),"")</f>
        <v>Provedba HKO-a na razini visokog obrazovanja</v>
      </c>
      <c r="G184" s="182">
        <v>87920</v>
      </c>
      <c r="H184" s="182">
        <v>379262</v>
      </c>
      <c r="I184" s="182">
        <f t="shared" si="21"/>
        <v>291342</v>
      </c>
      <c r="K184" s="139" t="str">
        <f t="shared" ref="K184:K216" si="36">LEFT(C184,3)</f>
        <v>369</v>
      </c>
      <c r="L184" s="139" t="str">
        <f t="shared" ref="L184:L216" si="37">LEFT(C184,2)</f>
        <v>36</v>
      </c>
      <c r="P184" s="139">
        <v>4226</v>
      </c>
      <c r="Q184" s="139" t="s">
        <v>165</v>
      </c>
      <c r="S184" s="139" t="str">
        <f t="shared" si="26"/>
        <v>42</v>
      </c>
      <c r="T184" s="139" t="str">
        <f t="shared" si="27"/>
        <v>422</v>
      </c>
      <c r="V184" s="139" t="s">
        <v>831</v>
      </c>
      <c r="W184" s="139" t="s">
        <v>832</v>
      </c>
    </row>
    <row r="185" spans="1:23">
      <c r="A185" s="149">
        <v>561</v>
      </c>
      <c r="B185" s="258" t="str">
        <f t="shared" si="28"/>
        <v>Europski socijalni fond (ESF)</v>
      </c>
      <c r="C185" s="149">
        <v>4221</v>
      </c>
      <c r="D185" s="258" t="str">
        <f t="shared" si="29"/>
        <v>Uredska oprema i namještaj</v>
      </c>
      <c r="E185" s="183" t="s">
        <v>991</v>
      </c>
      <c r="F185" s="258" t="str">
        <f>IFERROR(VLOOKUP(E185,$V$7:$W$1103,2,FALSE),"")</f>
        <v>Provedba HKO-a na razini visokog obrazovanja</v>
      </c>
      <c r="G185" s="182">
        <v>0</v>
      </c>
      <c r="H185" s="182">
        <v>11419</v>
      </c>
      <c r="I185" s="182">
        <f t="shared" si="21"/>
        <v>11419</v>
      </c>
      <c r="K185" s="139" t="str">
        <f t="shared" si="36"/>
        <v>422</v>
      </c>
      <c r="L185" s="139" t="str">
        <f t="shared" si="37"/>
        <v>42</v>
      </c>
    </row>
    <row r="186" spans="1:23">
      <c r="A186" s="149">
        <v>563</v>
      </c>
      <c r="B186" s="258" t="str">
        <f t="shared" si="28"/>
        <v>Europski fond za regionalni razvoj (ERDF)</v>
      </c>
      <c r="C186" s="149">
        <v>3237</v>
      </c>
      <c r="D186" s="258" t="str">
        <f t="shared" si="29"/>
        <v>Intelektualne i osobne usluge</v>
      </c>
      <c r="E186" s="183" t="s">
        <v>987</v>
      </c>
      <c r="F186" s="258" t="str">
        <f>IFERROR(VLOOKUP(E186,$V$7:$W$1103,2,FALSE),"")</f>
        <v>Poziv Modernizacija, unaprjeđenje i proširenje infrastrukture studentskog smještaja za studente u nepovoljnom položaju</v>
      </c>
      <c r="G186" s="182">
        <v>125000</v>
      </c>
      <c r="H186" s="182">
        <v>0</v>
      </c>
      <c r="I186" s="182">
        <f t="shared" si="21"/>
        <v>-125000</v>
      </c>
      <c r="K186" s="139" t="str">
        <f t="shared" si="36"/>
        <v>323</v>
      </c>
      <c r="L186" s="139" t="str">
        <f t="shared" si="37"/>
        <v>32</v>
      </c>
      <c r="P186" s="139">
        <v>4231</v>
      </c>
      <c r="Q186" s="139" t="s">
        <v>166</v>
      </c>
      <c r="S186" s="139" t="str">
        <f t="shared" si="26"/>
        <v>42</v>
      </c>
      <c r="T186" s="139" t="str">
        <f t="shared" si="27"/>
        <v>423</v>
      </c>
      <c r="V186" s="139" t="s">
        <v>1420</v>
      </c>
      <c r="W186" s="139" t="s">
        <v>1421</v>
      </c>
    </row>
    <row r="187" spans="1:23">
      <c r="A187" s="149">
        <v>563</v>
      </c>
      <c r="B187" s="258" t="str">
        <f t="shared" si="28"/>
        <v>Europski fond za regionalni razvoj (ERDF)</v>
      </c>
      <c r="C187" s="149">
        <v>3293</v>
      </c>
      <c r="D187" s="258" t="str">
        <f t="shared" si="29"/>
        <v xml:space="preserve">  Reprezentacija</v>
      </c>
      <c r="E187" s="183" t="s">
        <v>987</v>
      </c>
      <c r="F187" s="258" t="str">
        <f>IFERROR(VLOOKUP(E187,$V$7:$W$1103,2,FALSE),"")</f>
        <v>Poziv Modernizacija, unaprjeđenje i proširenje infrastrukture studentskog smještaja za studente u nepovoljnom položaju</v>
      </c>
      <c r="G187" s="182">
        <v>71000</v>
      </c>
      <c r="H187" s="182">
        <v>0</v>
      </c>
      <c r="I187" s="182">
        <f t="shared" si="21"/>
        <v>-71000</v>
      </c>
      <c r="K187" s="139" t="str">
        <f t="shared" si="36"/>
        <v>329</v>
      </c>
      <c r="L187" s="139" t="str">
        <f t="shared" si="37"/>
        <v>32</v>
      </c>
      <c r="P187" s="139">
        <v>4233</v>
      </c>
      <c r="Q187" s="139" t="s">
        <v>174</v>
      </c>
      <c r="S187" s="139" t="str">
        <f t="shared" si="26"/>
        <v>42</v>
      </c>
      <c r="T187" s="139" t="str">
        <f t="shared" si="27"/>
        <v>423</v>
      </c>
      <c r="V187" s="139" t="s">
        <v>1422</v>
      </c>
      <c r="W187" s="139" t="s">
        <v>1423</v>
      </c>
    </row>
    <row r="188" spans="1:23">
      <c r="A188" s="149">
        <v>61</v>
      </c>
      <c r="B188" s="258" t="str">
        <f t="shared" si="28"/>
        <v>Donacije</v>
      </c>
      <c r="C188" s="149" t="s">
        <v>3518</v>
      </c>
      <c r="D188" s="258" t="str">
        <f t="shared" si="29"/>
        <v/>
      </c>
      <c r="E188" s="183" t="s">
        <v>794</v>
      </c>
      <c r="F188" s="258" t="s">
        <v>3524</v>
      </c>
      <c r="G188" s="182">
        <v>0</v>
      </c>
      <c r="H188" s="182">
        <v>190108.32</v>
      </c>
      <c r="I188" s="182">
        <f t="shared" si="21"/>
        <v>190108.32</v>
      </c>
      <c r="K188" s="139" t="str">
        <f t="shared" si="36"/>
        <v>311</v>
      </c>
      <c r="L188" s="139" t="str">
        <f t="shared" si="37"/>
        <v>31</v>
      </c>
      <c r="P188" s="139">
        <v>4241</v>
      </c>
      <c r="Q188" s="139" t="s">
        <v>111</v>
      </c>
      <c r="S188" s="139" t="str">
        <f t="shared" si="26"/>
        <v>42</v>
      </c>
      <c r="T188" s="139" t="str">
        <f t="shared" si="27"/>
        <v>424</v>
      </c>
      <c r="V188" s="139" t="s">
        <v>1424</v>
      </c>
      <c r="W188" s="139" t="s">
        <v>1425</v>
      </c>
    </row>
    <row r="189" spans="1:23">
      <c r="A189" s="149">
        <v>61</v>
      </c>
      <c r="B189" s="258" t="str">
        <f t="shared" si="28"/>
        <v>Donacije</v>
      </c>
      <c r="C189" s="149" t="s">
        <v>3519</v>
      </c>
      <c r="D189" s="258" t="str">
        <f t="shared" si="29"/>
        <v/>
      </c>
      <c r="E189" s="183" t="s">
        <v>794</v>
      </c>
      <c r="F189" s="258" t="s">
        <v>3524</v>
      </c>
      <c r="G189" s="182">
        <v>0</v>
      </c>
      <c r="H189" s="182">
        <v>3000</v>
      </c>
      <c r="I189" s="182">
        <f t="shared" ref="I189:I252" si="38">+H189-G189</f>
        <v>3000</v>
      </c>
      <c r="K189" s="139" t="str">
        <f t="shared" si="36"/>
        <v>312</v>
      </c>
      <c r="L189" s="139" t="str">
        <f t="shared" si="37"/>
        <v>31</v>
      </c>
      <c r="P189" s="139">
        <v>4242</v>
      </c>
      <c r="Q189" s="139" t="s">
        <v>143</v>
      </c>
      <c r="S189" s="139" t="str">
        <f t="shared" si="26"/>
        <v>42</v>
      </c>
      <c r="T189" s="139" t="str">
        <f t="shared" si="27"/>
        <v>424</v>
      </c>
      <c r="V189" s="139" t="s">
        <v>1426</v>
      </c>
      <c r="W189" s="139" t="s">
        <v>1427</v>
      </c>
    </row>
    <row r="190" spans="1:23">
      <c r="A190" s="149">
        <v>61</v>
      </c>
      <c r="B190" s="258" t="str">
        <f t="shared" si="28"/>
        <v>Donacije</v>
      </c>
      <c r="C190" s="149" t="s">
        <v>3520</v>
      </c>
      <c r="D190" s="258" t="str">
        <f t="shared" si="29"/>
        <v/>
      </c>
      <c r="E190" s="183" t="s">
        <v>794</v>
      </c>
      <c r="F190" s="258" t="s">
        <v>3524</v>
      </c>
      <c r="G190" s="182">
        <v>0</v>
      </c>
      <c r="H190" s="182">
        <v>31367.83</v>
      </c>
      <c r="I190" s="182">
        <f t="shared" si="38"/>
        <v>31367.83</v>
      </c>
      <c r="K190" s="139" t="str">
        <f t="shared" si="36"/>
        <v>313</v>
      </c>
      <c r="L190" s="139" t="str">
        <f t="shared" si="37"/>
        <v>31</v>
      </c>
      <c r="P190" s="139">
        <v>4244</v>
      </c>
      <c r="Q190" s="139" t="s">
        <v>175</v>
      </c>
      <c r="S190" s="139" t="str">
        <f t="shared" si="26"/>
        <v>42</v>
      </c>
      <c r="T190" s="139" t="str">
        <f t="shared" si="27"/>
        <v>424</v>
      </c>
      <c r="V190" s="139" t="s">
        <v>1428</v>
      </c>
      <c r="W190" s="139" t="s">
        <v>1429</v>
      </c>
    </row>
    <row r="191" spans="1:23">
      <c r="A191" s="149">
        <v>61</v>
      </c>
      <c r="B191" s="258" t="str">
        <f t="shared" si="28"/>
        <v>Donacije</v>
      </c>
      <c r="C191" s="149" t="s">
        <v>3503</v>
      </c>
      <c r="D191" s="258" t="str">
        <f t="shared" si="29"/>
        <v/>
      </c>
      <c r="E191" s="183" t="s">
        <v>794</v>
      </c>
      <c r="F191" s="258" t="s">
        <v>3524</v>
      </c>
      <c r="G191" s="182">
        <v>0</v>
      </c>
      <c r="H191" s="182">
        <v>13697.55</v>
      </c>
      <c r="I191" s="182">
        <f t="shared" si="38"/>
        <v>13697.55</v>
      </c>
      <c r="K191" s="139" t="str">
        <f t="shared" si="36"/>
        <v>321</v>
      </c>
      <c r="L191" s="139" t="str">
        <f t="shared" si="37"/>
        <v>32</v>
      </c>
      <c r="P191" s="139">
        <v>4251</v>
      </c>
      <c r="Q191" s="139" t="s">
        <v>167</v>
      </c>
      <c r="S191" s="139" t="str">
        <f t="shared" si="26"/>
        <v>42</v>
      </c>
      <c r="T191" s="139" t="str">
        <f t="shared" si="27"/>
        <v>425</v>
      </c>
      <c r="V191" s="139" t="s">
        <v>1430</v>
      </c>
      <c r="W191" s="139" t="s">
        <v>1431</v>
      </c>
    </row>
    <row r="192" spans="1:23">
      <c r="A192" s="149">
        <v>61</v>
      </c>
      <c r="B192" s="258" t="str">
        <f t="shared" si="28"/>
        <v>Donacije</v>
      </c>
      <c r="C192" s="149" t="s">
        <v>3516</v>
      </c>
      <c r="D192" s="258" t="str">
        <f t="shared" si="29"/>
        <v/>
      </c>
      <c r="E192" s="183" t="s">
        <v>794</v>
      </c>
      <c r="F192" s="258" t="s">
        <v>3524</v>
      </c>
      <c r="G192" s="182">
        <v>0</v>
      </c>
      <c r="H192" s="182">
        <v>1750</v>
      </c>
      <c r="I192" s="182">
        <f t="shared" si="38"/>
        <v>1750</v>
      </c>
      <c r="K192" s="139" t="str">
        <f t="shared" si="36"/>
        <v>321</v>
      </c>
      <c r="L192" s="139" t="str">
        <f t="shared" si="37"/>
        <v>32</v>
      </c>
      <c r="P192" s="139">
        <v>4252</v>
      </c>
      <c r="Q192" s="139" t="s">
        <v>168</v>
      </c>
      <c r="S192" s="139" t="str">
        <f t="shared" si="26"/>
        <v>42</v>
      </c>
      <c r="T192" s="139" t="str">
        <f t="shared" si="27"/>
        <v>425</v>
      </c>
      <c r="V192" s="139" t="s">
        <v>1432</v>
      </c>
      <c r="W192" s="139" t="s">
        <v>1433</v>
      </c>
    </row>
    <row r="193" spans="1:23">
      <c r="A193" s="149">
        <v>61</v>
      </c>
      <c r="B193" s="258" t="str">
        <f t="shared" si="28"/>
        <v>Donacije</v>
      </c>
      <c r="C193" s="149" t="s">
        <v>3504</v>
      </c>
      <c r="D193" s="258" t="str">
        <f t="shared" si="29"/>
        <v/>
      </c>
      <c r="E193" s="183" t="s">
        <v>794</v>
      </c>
      <c r="F193" s="258" t="s">
        <v>3524</v>
      </c>
      <c r="G193" s="182">
        <v>0</v>
      </c>
      <c r="H193" s="182">
        <v>2289.2600000000002</v>
      </c>
      <c r="I193" s="182">
        <f t="shared" si="38"/>
        <v>2289.2600000000002</v>
      </c>
      <c r="K193" s="139" t="str">
        <f t="shared" si="36"/>
        <v>321</v>
      </c>
      <c r="L193" s="139" t="str">
        <f t="shared" si="37"/>
        <v>32</v>
      </c>
      <c r="P193" s="139">
        <v>4262</v>
      </c>
      <c r="Q193" s="139" t="s">
        <v>112</v>
      </c>
      <c r="S193" s="139" t="str">
        <f t="shared" si="26"/>
        <v>42</v>
      </c>
      <c r="T193" s="139" t="str">
        <f t="shared" si="27"/>
        <v>426</v>
      </c>
      <c r="V193" s="139" t="s">
        <v>1434</v>
      </c>
      <c r="W193" s="139" t="s">
        <v>1435</v>
      </c>
    </row>
    <row r="194" spans="1:23">
      <c r="A194" s="149">
        <v>61</v>
      </c>
      <c r="B194" s="258" t="str">
        <f t="shared" si="28"/>
        <v>Donacije</v>
      </c>
      <c r="C194" s="149" t="s">
        <v>3521</v>
      </c>
      <c r="D194" s="258" t="str">
        <f t="shared" si="29"/>
        <v/>
      </c>
      <c r="E194" s="183" t="s">
        <v>794</v>
      </c>
      <c r="F194" s="258" t="s">
        <v>3524</v>
      </c>
      <c r="G194" s="182">
        <v>0</v>
      </c>
      <c r="H194" s="182">
        <v>1104.83</v>
      </c>
      <c r="I194" s="182">
        <f t="shared" si="38"/>
        <v>1104.83</v>
      </c>
      <c r="K194" s="139" t="str">
        <f t="shared" si="36"/>
        <v>322</v>
      </c>
      <c r="L194" s="139" t="str">
        <f t="shared" si="37"/>
        <v>32</v>
      </c>
      <c r="P194" s="139">
        <v>4263</v>
      </c>
      <c r="Q194" s="139" t="s">
        <v>169</v>
      </c>
      <c r="S194" s="139" t="str">
        <f t="shared" si="26"/>
        <v>42</v>
      </c>
      <c r="T194" s="139" t="str">
        <f t="shared" si="27"/>
        <v>426</v>
      </c>
      <c r="V194" s="139" t="s">
        <v>1436</v>
      </c>
      <c r="W194" s="139" t="s">
        <v>1437</v>
      </c>
    </row>
    <row r="195" spans="1:23">
      <c r="A195" s="149">
        <v>61</v>
      </c>
      <c r="B195" s="258" t="str">
        <f t="shared" si="28"/>
        <v>Donacije</v>
      </c>
      <c r="C195" s="149" t="s">
        <v>3522</v>
      </c>
      <c r="D195" s="258" t="str">
        <f t="shared" si="29"/>
        <v/>
      </c>
      <c r="E195" s="183" t="s">
        <v>794</v>
      </c>
      <c r="F195" s="258" t="s">
        <v>3524</v>
      </c>
      <c r="G195" s="182">
        <v>0</v>
      </c>
      <c r="H195" s="182">
        <v>1889.99</v>
      </c>
      <c r="I195" s="182">
        <f t="shared" si="38"/>
        <v>1889.99</v>
      </c>
      <c r="K195" s="139" t="str">
        <f t="shared" si="36"/>
        <v>323</v>
      </c>
      <c r="L195" s="139" t="str">
        <f t="shared" si="37"/>
        <v>32</v>
      </c>
      <c r="P195" s="139">
        <v>4264</v>
      </c>
      <c r="Q195" s="139" t="s">
        <v>124</v>
      </c>
      <c r="S195" s="139" t="str">
        <f t="shared" si="26"/>
        <v>42</v>
      </c>
      <c r="T195" s="139" t="str">
        <f t="shared" si="27"/>
        <v>426</v>
      </c>
      <c r="V195" s="139" t="s">
        <v>1438</v>
      </c>
      <c r="W195" s="139" t="s">
        <v>1439</v>
      </c>
    </row>
    <row r="196" spans="1:23">
      <c r="A196" s="149">
        <v>61</v>
      </c>
      <c r="B196" s="258" t="str">
        <f t="shared" si="28"/>
        <v>Donacije</v>
      </c>
      <c r="C196" s="149" t="s">
        <v>3506</v>
      </c>
      <c r="D196" s="258" t="str">
        <f t="shared" si="29"/>
        <v/>
      </c>
      <c r="E196" s="183" t="s">
        <v>794</v>
      </c>
      <c r="F196" s="258" t="s">
        <v>3524</v>
      </c>
      <c r="G196" s="182">
        <v>0</v>
      </c>
      <c r="H196" s="182">
        <v>123565.7</v>
      </c>
      <c r="I196" s="182">
        <f t="shared" si="38"/>
        <v>123565.7</v>
      </c>
      <c r="K196" s="139" t="str">
        <f t="shared" si="36"/>
        <v>323</v>
      </c>
      <c r="L196" s="139" t="str">
        <f t="shared" si="37"/>
        <v>32</v>
      </c>
      <c r="P196" s="139">
        <v>4312</v>
      </c>
      <c r="Q196" s="139" t="s">
        <v>126</v>
      </c>
      <c r="S196" s="139" t="str">
        <f t="shared" si="26"/>
        <v>43</v>
      </c>
      <c r="T196" s="139" t="str">
        <f t="shared" si="27"/>
        <v>431</v>
      </c>
      <c r="V196" s="139" t="s">
        <v>1440</v>
      </c>
      <c r="W196" s="139" t="s">
        <v>1441</v>
      </c>
    </row>
    <row r="197" spans="1:23">
      <c r="A197" s="149">
        <v>61</v>
      </c>
      <c r="B197" s="258" t="str">
        <f t="shared" si="28"/>
        <v>Donacije</v>
      </c>
      <c r="C197" s="149" t="s">
        <v>3495</v>
      </c>
      <c r="D197" s="258" t="str">
        <f t="shared" si="29"/>
        <v/>
      </c>
      <c r="E197" s="183" t="s">
        <v>794</v>
      </c>
      <c r="F197" s="258" t="s">
        <v>3524</v>
      </c>
      <c r="G197" s="182">
        <v>0</v>
      </c>
      <c r="H197" s="182">
        <v>5478.5</v>
      </c>
      <c r="I197" s="182">
        <f t="shared" si="38"/>
        <v>5478.5</v>
      </c>
      <c r="K197" s="139" t="str">
        <f t="shared" si="36"/>
        <v>329</v>
      </c>
      <c r="L197" s="139" t="str">
        <f t="shared" si="37"/>
        <v>32</v>
      </c>
      <c r="P197" s="139">
        <v>4411</v>
      </c>
      <c r="Q197" s="139" t="s">
        <v>170</v>
      </c>
      <c r="S197" s="139" t="str">
        <f t="shared" si="26"/>
        <v>44</v>
      </c>
      <c r="T197" s="139" t="str">
        <f t="shared" si="27"/>
        <v>441</v>
      </c>
      <c r="V197" s="139" t="s">
        <v>1442</v>
      </c>
      <c r="W197" s="139" t="s">
        <v>1443</v>
      </c>
    </row>
    <row r="198" spans="1:23">
      <c r="A198" s="149">
        <v>61</v>
      </c>
      <c r="B198" s="258" t="str">
        <f t="shared" si="28"/>
        <v>Donacije</v>
      </c>
      <c r="C198" s="149" t="s">
        <v>3497</v>
      </c>
      <c r="D198" s="258" t="str">
        <f t="shared" si="29"/>
        <v/>
      </c>
      <c r="E198" s="183" t="s">
        <v>794</v>
      </c>
      <c r="F198" s="258" t="s">
        <v>3524</v>
      </c>
      <c r="G198" s="182">
        <v>0</v>
      </c>
      <c r="H198" s="182">
        <v>1022.68</v>
      </c>
      <c r="I198" s="182">
        <f t="shared" si="38"/>
        <v>1022.68</v>
      </c>
      <c r="K198" s="139" t="str">
        <f t="shared" si="36"/>
        <v>343</v>
      </c>
      <c r="L198" s="139" t="str">
        <f t="shared" si="37"/>
        <v>34</v>
      </c>
      <c r="P198" s="139">
        <v>4511</v>
      </c>
      <c r="Q198" s="139" t="s">
        <v>125</v>
      </c>
      <c r="S198" s="139" t="str">
        <f t="shared" si="26"/>
        <v>45</v>
      </c>
      <c r="T198" s="139" t="str">
        <f t="shared" si="27"/>
        <v>451</v>
      </c>
      <c r="V198" s="139" t="s">
        <v>1444</v>
      </c>
      <c r="W198" s="139" t="s">
        <v>1445</v>
      </c>
    </row>
    <row r="199" spans="1:23">
      <c r="A199" s="149">
        <v>61</v>
      </c>
      <c r="B199" s="258" t="str">
        <f t="shared" si="28"/>
        <v>Donacije</v>
      </c>
      <c r="C199" s="149" t="s">
        <v>3523</v>
      </c>
      <c r="D199" s="258" t="str">
        <f t="shared" si="29"/>
        <v/>
      </c>
      <c r="E199" s="183" t="s">
        <v>794</v>
      </c>
      <c r="F199" s="258" t="s">
        <v>3524</v>
      </c>
      <c r="G199" s="182">
        <v>0</v>
      </c>
      <c r="H199" s="182">
        <v>248006.58</v>
      </c>
      <c r="I199" s="182">
        <f t="shared" si="38"/>
        <v>248006.58</v>
      </c>
      <c r="K199" s="139" t="str">
        <f t="shared" si="36"/>
        <v>422</v>
      </c>
      <c r="L199" s="139" t="str">
        <f t="shared" si="37"/>
        <v>42</v>
      </c>
      <c r="P199" s="139">
        <v>4521</v>
      </c>
      <c r="Q199" s="139" t="s">
        <v>144</v>
      </c>
      <c r="S199" s="139" t="str">
        <f t="shared" si="26"/>
        <v>45</v>
      </c>
      <c r="T199" s="139" t="str">
        <f t="shared" si="27"/>
        <v>452</v>
      </c>
      <c r="V199" s="139" t="s">
        <v>1446</v>
      </c>
      <c r="W199" s="139" t="s">
        <v>1447</v>
      </c>
    </row>
    <row r="200" spans="1:23">
      <c r="A200" s="149">
        <v>61</v>
      </c>
      <c r="B200" s="258" t="str">
        <f t="shared" si="28"/>
        <v>Donacije</v>
      </c>
      <c r="C200" s="149" t="s">
        <v>3518</v>
      </c>
      <c r="D200" s="258" t="str">
        <f t="shared" si="29"/>
        <v/>
      </c>
      <c r="E200" s="183" t="s">
        <v>794</v>
      </c>
      <c r="F200" s="258" t="s">
        <v>3525</v>
      </c>
      <c r="G200" s="182">
        <v>0</v>
      </c>
      <c r="H200" s="182">
        <v>88320.98</v>
      </c>
      <c r="I200" s="182">
        <f t="shared" si="38"/>
        <v>88320.98</v>
      </c>
      <c r="K200" s="139" t="str">
        <f t="shared" si="36"/>
        <v>311</v>
      </c>
      <c r="L200" s="139" t="str">
        <f t="shared" si="37"/>
        <v>31</v>
      </c>
      <c r="P200" s="139">
        <v>4531</v>
      </c>
      <c r="Q200" s="139" t="s">
        <v>187</v>
      </c>
      <c r="S200" s="139" t="str">
        <f t="shared" si="26"/>
        <v>45</v>
      </c>
      <c r="T200" s="139" t="str">
        <f t="shared" si="27"/>
        <v>453</v>
      </c>
      <c r="V200" s="139" t="s">
        <v>1448</v>
      </c>
      <c r="W200" s="139" t="s">
        <v>1449</v>
      </c>
    </row>
    <row r="201" spans="1:23">
      <c r="A201" s="149">
        <v>61</v>
      </c>
      <c r="B201" s="258" t="str">
        <f t="shared" si="28"/>
        <v>Donacije</v>
      </c>
      <c r="C201" s="149" t="s">
        <v>3519</v>
      </c>
      <c r="D201" s="258" t="str">
        <f t="shared" si="29"/>
        <v/>
      </c>
      <c r="E201" s="183" t="s">
        <v>794</v>
      </c>
      <c r="F201" s="258" t="s">
        <v>3525</v>
      </c>
      <c r="G201" s="182">
        <v>0</v>
      </c>
      <c r="H201" s="182">
        <v>1500</v>
      </c>
      <c r="I201" s="182">
        <f t="shared" si="38"/>
        <v>1500</v>
      </c>
      <c r="K201" s="139" t="str">
        <f t="shared" si="36"/>
        <v>312</v>
      </c>
      <c r="L201" s="139" t="str">
        <f t="shared" si="37"/>
        <v>31</v>
      </c>
      <c r="P201" s="139">
        <v>4541</v>
      </c>
      <c r="Q201" s="139" t="s">
        <v>139</v>
      </c>
      <c r="S201" s="139" t="str">
        <f t="shared" si="26"/>
        <v>45</v>
      </c>
      <c r="T201" s="139" t="str">
        <f t="shared" si="27"/>
        <v>454</v>
      </c>
      <c r="V201" s="139" t="s">
        <v>1450</v>
      </c>
      <c r="W201" s="139" t="s">
        <v>1451</v>
      </c>
    </row>
    <row r="202" spans="1:23">
      <c r="A202" s="149">
        <v>61</v>
      </c>
      <c r="B202" s="258" t="str">
        <f t="shared" si="28"/>
        <v>Donacije</v>
      </c>
      <c r="C202" s="149" t="s">
        <v>3520</v>
      </c>
      <c r="D202" s="258" t="str">
        <f t="shared" si="29"/>
        <v/>
      </c>
      <c r="E202" s="183" t="s">
        <v>794</v>
      </c>
      <c r="F202" s="258" t="s">
        <v>3525</v>
      </c>
      <c r="G202" s="182">
        <v>0</v>
      </c>
      <c r="H202" s="182">
        <v>14572.91</v>
      </c>
      <c r="I202" s="182">
        <f t="shared" si="38"/>
        <v>14572.91</v>
      </c>
      <c r="K202" s="139" t="str">
        <f t="shared" si="36"/>
        <v>313</v>
      </c>
      <c r="L202" s="139" t="str">
        <f t="shared" si="37"/>
        <v>31</v>
      </c>
      <c r="P202" s="139">
        <v>5121</v>
      </c>
      <c r="Q202" s="139" t="s">
        <v>195</v>
      </c>
      <c r="S202" s="139" t="str">
        <f t="shared" si="26"/>
        <v>51</v>
      </c>
      <c r="T202" s="139" t="str">
        <f t="shared" si="27"/>
        <v>512</v>
      </c>
      <c r="V202" s="139" t="s">
        <v>1452</v>
      </c>
      <c r="W202" s="139" t="s">
        <v>1453</v>
      </c>
    </row>
    <row r="203" spans="1:23">
      <c r="A203" s="149">
        <v>61</v>
      </c>
      <c r="B203" s="258" t="str">
        <f t="shared" si="28"/>
        <v>Donacije</v>
      </c>
      <c r="C203" s="149" t="s">
        <v>3503</v>
      </c>
      <c r="D203" s="258" t="str">
        <f t="shared" si="29"/>
        <v/>
      </c>
      <c r="E203" s="183" t="s">
        <v>794</v>
      </c>
      <c r="F203" s="258" t="s">
        <v>3525</v>
      </c>
      <c r="G203" s="182">
        <v>0</v>
      </c>
      <c r="H203" s="182">
        <v>8322.25</v>
      </c>
      <c r="I203" s="182">
        <f t="shared" si="38"/>
        <v>8322.25</v>
      </c>
      <c r="K203" s="139" t="str">
        <f t="shared" si="36"/>
        <v>321</v>
      </c>
      <c r="L203" s="139" t="str">
        <f t="shared" si="37"/>
        <v>32</v>
      </c>
      <c r="P203" s="139">
        <v>5443</v>
      </c>
      <c r="Q203" s="139" t="s">
        <v>171</v>
      </c>
      <c r="S203" s="139" t="str">
        <f t="shared" si="26"/>
        <v>54</v>
      </c>
      <c r="T203" s="139" t="str">
        <f t="shared" si="27"/>
        <v>544</v>
      </c>
      <c r="V203" s="139" t="s">
        <v>1454</v>
      </c>
      <c r="W203" s="139" t="s">
        <v>1455</v>
      </c>
    </row>
    <row r="204" spans="1:23">
      <c r="A204" s="149">
        <v>52</v>
      </c>
      <c r="B204" s="258" t="str">
        <f t="shared" si="28"/>
        <v>Ostale pomoći</v>
      </c>
      <c r="C204" s="149" t="s">
        <v>3503</v>
      </c>
      <c r="D204" s="258" t="str">
        <f t="shared" si="29"/>
        <v/>
      </c>
      <c r="E204" s="183" t="s">
        <v>794</v>
      </c>
      <c r="F204" s="258" t="s">
        <v>3527</v>
      </c>
      <c r="G204" s="182">
        <v>0</v>
      </c>
      <c r="H204" s="182">
        <v>340</v>
      </c>
      <c r="I204" s="182">
        <f t="shared" si="38"/>
        <v>340</v>
      </c>
      <c r="K204" s="139" t="str">
        <f t="shared" si="36"/>
        <v>321</v>
      </c>
      <c r="L204" s="139" t="str">
        <f t="shared" si="37"/>
        <v>32</v>
      </c>
      <c r="P204" s="139">
        <v>5121</v>
      </c>
      <c r="Q204" s="139" t="s">
        <v>739</v>
      </c>
      <c r="S204" s="139" t="str">
        <f t="shared" si="26"/>
        <v>51</v>
      </c>
      <c r="T204" s="139" t="str">
        <f t="shared" si="27"/>
        <v>512</v>
      </c>
      <c r="V204" s="139" t="s">
        <v>1456</v>
      </c>
      <c r="W204" s="139" t="s">
        <v>1457</v>
      </c>
    </row>
    <row r="205" spans="1:23">
      <c r="A205" s="149">
        <v>52</v>
      </c>
      <c r="B205" s="258" t="str">
        <f t="shared" si="28"/>
        <v>Ostale pomoći</v>
      </c>
      <c r="C205" s="149" t="s">
        <v>3495</v>
      </c>
      <c r="D205" s="258" t="str">
        <f t="shared" si="29"/>
        <v/>
      </c>
      <c r="E205" s="183" t="s">
        <v>794</v>
      </c>
      <c r="F205" s="258" t="s">
        <v>3527</v>
      </c>
      <c r="G205" s="182">
        <v>0</v>
      </c>
      <c r="H205" s="182">
        <v>5000.88</v>
      </c>
      <c r="I205" s="182">
        <f t="shared" si="38"/>
        <v>5000.88</v>
      </c>
      <c r="K205" s="139" t="str">
        <f t="shared" si="36"/>
        <v>329</v>
      </c>
      <c r="L205" s="139" t="str">
        <f t="shared" si="37"/>
        <v>32</v>
      </c>
      <c r="P205" s="139">
        <v>5122</v>
      </c>
      <c r="Q205" s="139" t="s">
        <v>740</v>
      </c>
      <c r="S205" s="139" t="str">
        <f t="shared" si="26"/>
        <v>51</v>
      </c>
      <c r="T205" s="139" t="str">
        <f t="shared" si="27"/>
        <v>512</v>
      </c>
      <c r="V205" s="139" t="s">
        <v>1458</v>
      </c>
      <c r="W205" s="139" t="s">
        <v>1459</v>
      </c>
    </row>
    <row r="206" spans="1:23">
      <c r="A206" s="149">
        <v>52</v>
      </c>
      <c r="B206" s="258" t="str">
        <f t="shared" si="28"/>
        <v>Ostale pomoći</v>
      </c>
      <c r="C206" s="149" t="s">
        <v>3526</v>
      </c>
      <c r="D206" s="258" t="str">
        <f t="shared" si="29"/>
        <v/>
      </c>
      <c r="E206" s="183" t="s">
        <v>794</v>
      </c>
      <c r="F206" s="258" t="s">
        <v>3527</v>
      </c>
      <c r="G206" s="182">
        <v>0</v>
      </c>
      <c r="H206" s="182">
        <v>79106.259999999995</v>
      </c>
      <c r="I206" s="182">
        <f t="shared" si="38"/>
        <v>79106.259999999995</v>
      </c>
      <c r="K206" s="139" t="str">
        <f t="shared" si="36"/>
        <v>353</v>
      </c>
      <c r="L206" s="139" t="str">
        <f t="shared" si="37"/>
        <v>35</v>
      </c>
      <c r="P206" s="139">
        <v>5141</v>
      </c>
      <c r="Q206" s="139" t="s">
        <v>741</v>
      </c>
      <c r="S206" s="139" t="str">
        <f t="shared" si="26"/>
        <v>51</v>
      </c>
      <c r="T206" s="139" t="str">
        <f t="shared" si="27"/>
        <v>514</v>
      </c>
      <c r="V206" s="139" t="s">
        <v>1460</v>
      </c>
      <c r="W206" s="139" t="s">
        <v>1461</v>
      </c>
    </row>
    <row r="207" spans="1:23">
      <c r="A207" s="149">
        <v>52</v>
      </c>
      <c r="B207" s="258" t="str">
        <f t="shared" si="28"/>
        <v>Ostale pomoći</v>
      </c>
      <c r="C207" s="149" t="s">
        <v>3503</v>
      </c>
      <c r="D207" s="258" t="str">
        <f t="shared" si="29"/>
        <v/>
      </c>
      <c r="E207" s="183" t="s">
        <v>794</v>
      </c>
      <c r="F207" s="258" t="s">
        <v>3528</v>
      </c>
      <c r="G207" s="182">
        <v>0</v>
      </c>
      <c r="H207" s="182">
        <v>23970.23</v>
      </c>
      <c r="I207" s="182">
        <f t="shared" si="38"/>
        <v>23970.23</v>
      </c>
      <c r="K207" s="139" t="str">
        <f t="shared" si="36"/>
        <v>321</v>
      </c>
      <c r="L207" s="139" t="str">
        <f t="shared" si="37"/>
        <v>32</v>
      </c>
      <c r="P207" s="139">
        <v>5181</v>
      </c>
      <c r="Q207" s="139" t="s">
        <v>742</v>
      </c>
      <c r="S207" s="139" t="str">
        <f t="shared" si="26"/>
        <v>51</v>
      </c>
      <c r="T207" s="139" t="str">
        <f t="shared" si="27"/>
        <v>518</v>
      </c>
      <c r="V207" s="139" t="s">
        <v>1462</v>
      </c>
      <c r="W207" s="139" t="s">
        <v>1463</v>
      </c>
    </row>
    <row r="208" spans="1:23">
      <c r="A208" s="149">
        <v>52</v>
      </c>
      <c r="B208" s="258" t="str">
        <f t="shared" si="28"/>
        <v>Ostale pomoći</v>
      </c>
      <c r="C208" s="149" t="s">
        <v>3504</v>
      </c>
      <c r="D208" s="258" t="str">
        <f t="shared" si="29"/>
        <v/>
      </c>
      <c r="E208" s="183" t="s">
        <v>794</v>
      </c>
      <c r="F208" s="258" t="s">
        <v>3528</v>
      </c>
      <c r="G208" s="182">
        <v>0</v>
      </c>
      <c r="H208" s="182">
        <v>750</v>
      </c>
      <c r="I208" s="182">
        <f t="shared" si="38"/>
        <v>750</v>
      </c>
      <c r="K208" s="139" t="str">
        <f t="shared" si="36"/>
        <v>321</v>
      </c>
      <c r="L208" s="139" t="str">
        <f t="shared" si="37"/>
        <v>32</v>
      </c>
      <c r="P208" s="139">
        <v>5183</v>
      </c>
      <c r="Q208" s="139" t="s">
        <v>743</v>
      </c>
      <c r="S208" s="139" t="str">
        <f t="shared" si="26"/>
        <v>51</v>
      </c>
      <c r="T208" s="139" t="str">
        <f t="shared" si="27"/>
        <v>518</v>
      </c>
      <c r="V208" s="139" t="s">
        <v>1464</v>
      </c>
      <c r="W208" s="139" t="s">
        <v>1465</v>
      </c>
    </row>
    <row r="209" spans="1:23">
      <c r="A209" s="149">
        <v>52</v>
      </c>
      <c r="B209" s="258" t="str">
        <f t="shared" si="28"/>
        <v>Ostale pomoći</v>
      </c>
      <c r="C209" s="149" t="s">
        <v>3517</v>
      </c>
      <c r="D209" s="258" t="str">
        <f t="shared" si="29"/>
        <v/>
      </c>
      <c r="E209" s="183" t="s">
        <v>794</v>
      </c>
      <c r="F209" s="258" t="s">
        <v>3528</v>
      </c>
      <c r="G209" s="182">
        <v>0</v>
      </c>
      <c r="H209" s="182">
        <v>19770</v>
      </c>
      <c r="I209" s="182">
        <f t="shared" si="38"/>
        <v>19770</v>
      </c>
      <c r="K209" s="139" t="str">
        <f t="shared" si="36"/>
        <v>323</v>
      </c>
      <c r="L209" s="139" t="str">
        <f t="shared" si="37"/>
        <v>32</v>
      </c>
      <c r="P209" s="139">
        <v>5422</v>
      </c>
      <c r="Q209" s="139" t="s">
        <v>744</v>
      </c>
      <c r="S209" s="139" t="str">
        <f t="shared" si="26"/>
        <v>54</v>
      </c>
      <c r="T209" s="139" t="str">
        <f t="shared" si="27"/>
        <v>542</v>
      </c>
      <c r="V209" s="139" t="s">
        <v>1466</v>
      </c>
      <c r="W209" s="139" t="s">
        <v>1467</v>
      </c>
    </row>
    <row r="210" spans="1:23">
      <c r="A210" s="149">
        <v>52</v>
      </c>
      <c r="B210" s="258" t="str">
        <f t="shared" si="28"/>
        <v>Ostale pomoći</v>
      </c>
      <c r="C210" s="149" t="s">
        <v>3495</v>
      </c>
      <c r="D210" s="258" t="str">
        <f t="shared" si="29"/>
        <v/>
      </c>
      <c r="E210" s="183" t="s">
        <v>794</v>
      </c>
      <c r="F210" s="258" t="s">
        <v>3528</v>
      </c>
      <c r="G210" s="182">
        <v>0</v>
      </c>
      <c r="H210" s="182">
        <v>7209</v>
      </c>
      <c r="I210" s="182">
        <f t="shared" si="38"/>
        <v>7209</v>
      </c>
      <c r="K210" s="139" t="str">
        <f t="shared" si="36"/>
        <v>329</v>
      </c>
      <c r="L210" s="139" t="str">
        <f t="shared" si="37"/>
        <v>32</v>
      </c>
      <c r="P210" s="139">
        <v>5431</v>
      </c>
      <c r="Q210" s="139" t="s">
        <v>355</v>
      </c>
      <c r="S210" s="139" t="str">
        <f t="shared" si="26"/>
        <v>54</v>
      </c>
      <c r="T210" s="139" t="str">
        <f t="shared" si="27"/>
        <v>543</v>
      </c>
      <c r="V210" s="139" t="s">
        <v>1468</v>
      </c>
      <c r="W210" s="139" t="s">
        <v>1469</v>
      </c>
    </row>
    <row r="211" spans="1:23">
      <c r="A211" s="149">
        <v>52</v>
      </c>
      <c r="B211" s="258" t="str">
        <f t="shared" si="28"/>
        <v>Ostale pomoći</v>
      </c>
      <c r="C211" s="149" t="s">
        <v>3502</v>
      </c>
      <c r="D211" s="258" t="str">
        <f t="shared" si="29"/>
        <v/>
      </c>
      <c r="E211" s="183" t="s">
        <v>794</v>
      </c>
      <c r="F211" s="258" t="s">
        <v>3528</v>
      </c>
      <c r="G211" s="182">
        <v>0</v>
      </c>
      <c r="H211" s="182">
        <v>222500</v>
      </c>
      <c r="I211" s="182">
        <f t="shared" si="38"/>
        <v>222500</v>
      </c>
      <c r="K211" s="139" t="str">
        <f t="shared" si="36"/>
        <v>426</v>
      </c>
      <c r="L211" s="139" t="str">
        <f t="shared" si="37"/>
        <v>42</v>
      </c>
      <c r="P211" s="139">
        <v>5443</v>
      </c>
      <c r="Q211" s="139" t="s">
        <v>745</v>
      </c>
      <c r="S211" s="139" t="str">
        <f t="shared" si="26"/>
        <v>54</v>
      </c>
      <c r="T211" s="139" t="str">
        <f t="shared" si="27"/>
        <v>544</v>
      </c>
      <c r="V211" s="139" t="s">
        <v>1470</v>
      </c>
      <c r="W211" s="139" t="s">
        <v>1471</v>
      </c>
    </row>
    <row r="212" spans="1:23">
      <c r="A212" s="149">
        <v>51</v>
      </c>
      <c r="B212" s="258" t="str">
        <f t="shared" si="28"/>
        <v>Pomoći EU</v>
      </c>
      <c r="C212" s="149" t="s">
        <v>3503</v>
      </c>
      <c r="D212" s="258" t="str">
        <f t="shared" si="29"/>
        <v/>
      </c>
      <c r="E212" s="183" t="s">
        <v>794</v>
      </c>
      <c r="F212" s="258" t="s">
        <v>3529</v>
      </c>
      <c r="G212" s="182">
        <v>0</v>
      </c>
      <c r="H212" s="182">
        <v>58003.19</v>
      </c>
      <c r="I212" s="182">
        <f t="shared" si="38"/>
        <v>58003.19</v>
      </c>
      <c r="K212" s="139" t="str">
        <f t="shared" si="36"/>
        <v>321</v>
      </c>
      <c r="L212" s="139" t="str">
        <f t="shared" si="37"/>
        <v>32</v>
      </c>
      <c r="P212" s="139">
        <v>5445</v>
      </c>
      <c r="Q212" s="139" t="s">
        <v>746</v>
      </c>
      <c r="S212" s="139" t="str">
        <f t="shared" si="26"/>
        <v>54</v>
      </c>
      <c r="T212" s="139" t="str">
        <f t="shared" si="27"/>
        <v>544</v>
      </c>
      <c r="V212" s="139" t="s">
        <v>1472</v>
      </c>
      <c r="W212" s="139" t="s">
        <v>1473</v>
      </c>
    </row>
    <row r="213" spans="1:23">
      <c r="A213" s="149">
        <v>51</v>
      </c>
      <c r="B213" s="258" t="str">
        <f t="shared" si="28"/>
        <v>Pomoći EU</v>
      </c>
      <c r="C213" s="149" t="s">
        <v>3508</v>
      </c>
      <c r="D213" s="258" t="str">
        <f t="shared" si="29"/>
        <v/>
      </c>
      <c r="E213" s="183" t="s">
        <v>794</v>
      </c>
      <c r="F213" s="258" t="s">
        <v>3529</v>
      </c>
      <c r="G213" s="182">
        <v>0</v>
      </c>
      <c r="H213" s="182">
        <v>6201.07</v>
      </c>
      <c r="I213" s="182">
        <f t="shared" si="38"/>
        <v>6201.07</v>
      </c>
      <c r="K213" s="139" t="str">
        <f t="shared" si="36"/>
        <v>324</v>
      </c>
      <c r="L213" s="139" t="str">
        <f t="shared" si="37"/>
        <v>32</v>
      </c>
      <c r="P213" s="139">
        <v>5453</v>
      </c>
      <c r="Q213" s="139" t="s">
        <v>747</v>
      </c>
      <c r="S213" s="139" t="str">
        <f t="shared" si="26"/>
        <v>54</v>
      </c>
      <c r="T213" s="139" t="str">
        <f t="shared" si="27"/>
        <v>545</v>
      </c>
      <c r="V213" s="139" t="s">
        <v>1474</v>
      </c>
      <c r="W213" s="139" t="s">
        <v>1475</v>
      </c>
    </row>
    <row r="214" spans="1:23">
      <c r="A214" s="149">
        <v>52</v>
      </c>
      <c r="B214" s="258" t="str">
        <f t="shared" si="28"/>
        <v>Ostale pomoći</v>
      </c>
      <c r="C214" s="149" t="s">
        <v>3530</v>
      </c>
      <c r="D214" s="258" t="str">
        <f t="shared" si="29"/>
        <v/>
      </c>
      <c r="E214" s="183" t="s">
        <v>794</v>
      </c>
      <c r="F214" s="258" t="s">
        <v>3531</v>
      </c>
      <c r="G214" s="182">
        <v>0</v>
      </c>
      <c r="H214" s="182">
        <v>93876.91</v>
      </c>
      <c r="I214" s="182">
        <f t="shared" si="38"/>
        <v>93876.91</v>
      </c>
      <c r="K214" s="139" t="str">
        <f t="shared" si="36"/>
        <v>311</v>
      </c>
      <c r="L214" s="139" t="str">
        <f t="shared" si="37"/>
        <v>31</v>
      </c>
      <c r="P214" s="139">
        <v>5472</v>
      </c>
      <c r="Q214" s="139" t="s">
        <v>748</v>
      </c>
      <c r="S214" s="139" t="str">
        <f t="shared" si="26"/>
        <v>54</v>
      </c>
      <c r="T214" s="139" t="str">
        <f t="shared" si="27"/>
        <v>547</v>
      </c>
      <c r="V214" s="139" t="s">
        <v>1476</v>
      </c>
      <c r="W214" s="139" t="s">
        <v>1477</v>
      </c>
    </row>
    <row r="215" spans="1:23">
      <c r="A215" s="149">
        <v>52</v>
      </c>
      <c r="B215" s="258" t="str">
        <f t="shared" si="28"/>
        <v>Ostale pomoći</v>
      </c>
      <c r="C215" s="149" t="s">
        <v>3520</v>
      </c>
      <c r="D215" s="258" t="str">
        <f t="shared" si="29"/>
        <v/>
      </c>
      <c r="E215" s="183" t="s">
        <v>794</v>
      </c>
      <c r="F215" s="258" t="s">
        <v>3531</v>
      </c>
      <c r="G215" s="182">
        <v>0</v>
      </c>
      <c r="H215" s="182">
        <v>15489.68</v>
      </c>
      <c r="I215" s="182">
        <f t="shared" si="38"/>
        <v>15489.68</v>
      </c>
      <c r="K215" s="139" t="str">
        <f t="shared" si="36"/>
        <v>313</v>
      </c>
      <c r="L215" s="139" t="str">
        <f t="shared" si="37"/>
        <v>31</v>
      </c>
      <c r="V215" s="139" t="s">
        <v>1478</v>
      </c>
      <c r="W215" s="139" t="s">
        <v>1479</v>
      </c>
    </row>
    <row r="216" spans="1:23">
      <c r="A216" s="149">
        <v>52</v>
      </c>
      <c r="B216" s="258" t="str">
        <f t="shared" si="28"/>
        <v>Ostale pomoći</v>
      </c>
      <c r="C216" s="149" t="s">
        <v>3503</v>
      </c>
      <c r="D216" s="258" t="str">
        <f t="shared" si="29"/>
        <v/>
      </c>
      <c r="E216" s="183" t="s">
        <v>794</v>
      </c>
      <c r="F216" s="258" t="s">
        <v>3531</v>
      </c>
      <c r="G216" s="182">
        <v>0</v>
      </c>
      <c r="H216" s="182">
        <v>1124</v>
      </c>
      <c r="I216" s="182">
        <f t="shared" si="38"/>
        <v>1124</v>
      </c>
      <c r="K216" s="139" t="str">
        <f t="shared" si="36"/>
        <v>321</v>
      </c>
      <c r="L216" s="139" t="str">
        <f t="shared" si="37"/>
        <v>32</v>
      </c>
      <c r="V216" s="139" t="s">
        <v>1480</v>
      </c>
      <c r="W216" s="139" t="s">
        <v>1481</v>
      </c>
    </row>
    <row r="217" spans="1:23">
      <c r="A217" s="149">
        <v>52</v>
      </c>
      <c r="B217" s="258" t="str">
        <f t="shared" si="28"/>
        <v>Ostale pomoći</v>
      </c>
      <c r="C217" s="149" t="s">
        <v>3508</v>
      </c>
      <c r="D217" s="258" t="str">
        <f t="shared" si="29"/>
        <v/>
      </c>
      <c r="E217" s="183" t="s">
        <v>794</v>
      </c>
      <c r="F217" s="258" t="s">
        <v>3531</v>
      </c>
      <c r="G217" s="182">
        <v>0</v>
      </c>
      <c r="H217" s="182">
        <v>1036</v>
      </c>
      <c r="I217" s="182">
        <f t="shared" si="38"/>
        <v>1036</v>
      </c>
      <c r="K217" s="139" t="str">
        <f t="shared" ref="K217:K280" si="39">LEFT(C217,3)</f>
        <v>324</v>
      </c>
      <c r="L217" s="139" t="str">
        <f t="shared" ref="L217:L280" si="40">LEFT(C217,2)</f>
        <v>32</v>
      </c>
      <c r="V217" s="139" t="s">
        <v>1482</v>
      </c>
      <c r="W217" s="139" t="s">
        <v>1483</v>
      </c>
    </row>
    <row r="218" spans="1:23">
      <c r="A218" s="149">
        <v>52</v>
      </c>
      <c r="B218" s="258" t="str">
        <f t="shared" si="28"/>
        <v>Ostale pomoći</v>
      </c>
      <c r="C218" s="149" t="s">
        <v>3495</v>
      </c>
      <c r="D218" s="258" t="str">
        <f t="shared" si="29"/>
        <v/>
      </c>
      <c r="E218" s="183" t="s">
        <v>794</v>
      </c>
      <c r="F218" s="258" t="s">
        <v>3531</v>
      </c>
      <c r="G218" s="182">
        <v>0</v>
      </c>
      <c r="H218" s="182">
        <v>4200</v>
      </c>
      <c r="I218" s="182">
        <f t="shared" si="38"/>
        <v>4200</v>
      </c>
      <c r="K218" s="139" t="str">
        <f t="shared" si="39"/>
        <v>329</v>
      </c>
      <c r="L218" s="139" t="str">
        <f t="shared" si="40"/>
        <v>32</v>
      </c>
      <c r="V218" s="139" t="s">
        <v>1484</v>
      </c>
      <c r="W218" s="139" t="s">
        <v>1485</v>
      </c>
    </row>
    <row r="219" spans="1:23">
      <c r="A219" s="149">
        <v>52</v>
      </c>
      <c r="B219" s="258" t="str">
        <f t="shared" si="28"/>
        <v>Ostale pomoći</v>
      </c>
      <c r="C219" s="149" t="s">
        <v>3530</v>
      </c>
      <c r="D219" s="258" t="str">
        <f t="shared" si="29"/>
        <v/>
      </c>
      <c r="E219" s="183" t="s">
        <v>794</v>
      </c>
      <c r="F219" s="258" t="s">
        <v>3533</v>
      </c>
      <c r="G219" s="182">
        <v>0</v>
      </c>
      <c r="H219" s="182">
        <v>67991.28</v>
      </c>
      <c r="I219" s="182">
        <f t="shared" si="38"/>
        <v>67991.28</v>
      </c>
      <c r="K219" s="139" t="str">
        <f t="shared" si="39"/>
        <v>311</v>
      </c>
      <c r="L219" s="139" t="str">
        <f t="shared" si="40"/>
        <v>31</v>
      </c>
      <c r="V219" s="139" t="s">
        <v>1486</v>
      </c>
      <c r="W219" s="139" t="s">
        <v>1487</v>
      </c>
    </row>
    <row r="220" spans="1:23">
      <c r="A220" s="149">
        <v>52</v>
      </c>
      <c r="B220" s="258" t="str">
        <f t="shared" si="28"/>
        <v>Ostale pomoći</v>
      </c>
      <c r="C220" s="149" t="s">
        <v>3520</v>
      </c>
      <c r="D220" s="258" t="str">
        <f t="shared" si="29"/>
        <v/>
      </c>
      <c r="E220" s="183" t="s">
        <v>794</v>
      </c>
      <c r="F220" s="258" t="s">
        <v>3533</v>
      </c>
      <c r="G220" s="182">
        <v>0</v>
      </c>
      <c r="H220" s="182">
        <v>11218.55</v>
      </c>
      <c r="I220" s="182">
        <f t="shared" si="38"/>
        <v>11218.55</v>
      </c>
      <c r="K220" s="139" t="str">
        <f t="shared" si="39"/>
        <v>313</v>
      </c>
      <c r="L220" s="139" t="str">
        <f t="shared" si="40"/>
        <v>31</v>
      </c>
      <c r="V220" s="139" t="s">
        <v>1488</v>
      </c>
      <c r="W220" s="139" t="s">
        <v>1489</v>
      </c>
    </row>
    <row r="221" spans="1:23">
      <c r="A221" s="149">
        <v>52</v>
      </c>
      <c r="B221" s="258" t="str">
        <f t="shared" si="28"/>
        <v>Ostale pomoći</v>
      </c>
      <c r="C221" s="149" t="s">
        <v>3503</v>
      </c>
      <c r="D221" s="258" t="str">
        <f t="shared" si="29"/>
        <v/>
      </c>
      <c r="E221" s="183" t="s">
        <v>794</v>
      </c>
      <c r="F221" s="258" t="s">
        <v>3533</v>
      </c>
      <c r="G221" s="182">
        <v>0</v>
      </c>
      <c r="H221" s="182">
        <v>200</v>
      </c>
      <c r="I221" s="182">
        <f t="shared" si="38"/>
        <v>200</v>
      </c>
      <c r="K221" s="139" t="str">
        <f t="shared" si="39"/>
        <v>321</v>
      </c>
      <c r="L221" s="139" t="str">
        <f t="shared" si="40"/>
        <v>32</v>
      </c>
      <c r="V221" s="139" t="s">
        <v>1490</v>
      </c>
      <c r="W221" s="139" t="s">
        <v>1491</v>
      </c>
    </row>
    <row r="222" spans="1:23">
      <c r="A222" s="149">
        <v>52</v>
      </c>
      <c r="B222" s="258" t="str">
        <f t="shared" si="28"/>
        <v>Ostale pomoći</v>
      </c>
      <c r="C222" s="149" t="s">
        <v>3513</v>
      </c>
      <c r="D222" s="258" t="str">
        <f t="shared" si="29"/>
        <v/>
      </c>
      <c r="E222" s="183" t="s">
        <v>794</v>
      </c>
      <c r="F222" s="258" t="s">
        <v>3533</v>
      </c>
      <c r="G222" s="182">
        <v>0</v>
      </c>
      <c r="H222" s="182">
        <v>1288.75</v>
      </c>
      <c r="I222" s="182">
        <f t="shared" si="38"/>
        <v>1288.75</v>
      </c>
      <c r="K222" s="139" t="str">
        <f t="shared" si="39"/>
        <v>322</v>
      </c>
      <c r="L222" s="139" t="str">
        <f t="shared" si="40"/>
        <v>32</v>
      </c>
      <c r="V222" s="139" t="s">
        <v>1492</v>
      </c>
      <c r="W222" s="139" t="s">
        <v>1493</v>
      </c>
    </row>
    <row r="223" spans="1:23">
      <c r="A223" s="149">
        <v>52</v>
      </c>
      <c r="B223" s="258" t="str">
        <f t="shared" si="28"/>
        <v>Ostale pomoći</v>
      </c>
      <c r="C223" s="149" t="s">
        <v>3500</v>
      </c>
      <c r="D223" s="258" t="str">
        <f t="shared" si="29"/>
        <v/>
      </c>
      <c r="E223" s="183" t="s">
        <v>794</v>
      </c>
      <c r="F223" s="258" t="s">
        <v>3533</v>
      </c>
      <c r="G223" s="182">
        <v>0</v>
      </c>
      <c r="H223" s="182">
        <v>19168</v>
      </c>
      <c r="I223" s="182">
        <f t="shared" si="38"/>
        <v>19168</v>
      </c>
      <c r="K223" s="139" t="str">
        <f t="shared" si="39"/>
        <v>422</v>
      </c>
      <c r="L223" s="139" t="str">
        <f t="shared" si="40"/>
        <v>42</v>
      </c>
      <c r="V223" s="139" t="s">
        <v>1494</v>
      </c>
      <c r="W223" s="139" t="s">
        <v>1495</v>
      </c>
    </row>
    <row r="224" spans="1:23">
      <c r="A224" s="149">
        <v>52</v>
      </c>
      <c r="B224" s="258" t="str">
        <f t="shared" si="28"/>
        <v>Ostale pomoći</v>
      </c>
      <c r="C224" s="149" t="s">
        <v>3532</v>
      </c>
      <c r="D224" s="258" t="str">
        <f t="shared" si="29"/>
        <v/>
      </c>
      <c r="E224" s="183" t="s">
        <v>794</v>
      </c>
      <c r="F224" s="258" t="s">
        <v>3533</v>
      </c>
      <c r="G224" s="182">
        <v>0</v>
      </c>
      <c r="H224" s="182">
        <v>5939.1</v>
      </c>
      <c r="I224" s="182">
        <f t="shared" si="38"/>
        <v>5939.1</v>
      </c>
      <c r="K224" s="139" t="str">
        <f t="shared" si="39"/>
        <v>422</v>
      </c>
      <c r="L224" s="139" t="str">
        <f t="shared" si="40"/>
        <v>42</v>
      </c>
      <c r="V224" s="139" t="s">
        <v>1496</v>
      </c>
      <c r="W224" s="139" t="s">
        <v>1497</v>
      </c>
    </row>
    <row r="225" spans="1:23">
      <c r="A225" s="149">
        <v>52</v>
      </c>
      <c r="B225" s="258" t="str">
        <f t="shared" si="28"/>
        <v>Ostale pomoći</v>
      </c>
      <c r="C225" s="149" t="s">
        <v>3502</v>
      </c>
      <c r="D225" s="258" t="str">
        <f t="shared" si="29"/>
        <v/>
      </c>
      <c r="E225" s="183" t="s">
        <v>794</v>
      </c>
      <c r="F225" s="258" t="s">
        <v>3533</v>
      </c>
      <c r="G225" s="182">
        <v>0</v>
      </c>
      <c r="H225" s="182">
        <v>6633.16</v>
      </c>
      <c r="I225" s="182">
        <f t="shared" si="38"/>
        <v>6633.16</v>
      </c>
      <c r="K225" s="139" t="str">
        <f t="shared" si="39"/>
        <v>426</v>
      </c>
      <c r="L225" s="139" t="str">
        <f t="shared" si="40"/>
        <v>42</v>
      </c>
      <c r="V225" s="139" t="s">
        <v>2294</v>
      </c>
      <c r="W225" s="139" t="s">
        <v>2295</v>
      </c>
    </row>
    <row r="226" spans="1:23">
      <c r="A226" s="149">
        <v>52</v>
      </c>
      <c r="B226" s="258" t="str">
        <f t="shared" si="28"/>
        <v>Ostale pomoći</v>
      </c>
      <c r="C226" s="149" t="s">
        <v>3503</v>
      </c>
      <c r="D226" s="258" t="str">
        <f t="shared" si="29"/>
        <v/>
      </c>
      <c r="E226" s="183" t="s">
        <v>794</v>
      </c>
      <c r="F226" s="258" t="s">
        <v>3534</v>
      </c>
      <c r="G226" s="182">
        <v>0</v>
      </c>
      <c r="H226" s="182">
        <v>15444.99</v>
      </c>
      <c r="I226" s="182">
        <f t="shared" si="38"/>
        <v>15444.99</v>
      </c>
      <c r="K226" s="139" t="str">
        <f t="shared" si="39"/>
        <v>321</v>
      </c>
      <c r="L226" s="139" t="str">
        <f t="shared" si="40"/>
        <v>32</v>
      </c>
      <c r="V226" s="139" t="s">
        <v>2296</v>
      </c>
      <c r="W226" s="139" t="s">
        <v>2297</v>
      </c>
    </row>
    <row r="227" spans="1:23">
      <c r="A227" s="149">
        <v>52</v>
      </c>
      <c r="B227" s="258" t="str">
        <f t="shared" si="28"/>
        <v>Ostale pomoći</v>
      </c>
      <c r="C227" s="149" t="s">
        <v>3504</v>
      </c>
      <c r="D227" s="258" t="str">
        <f t="shared" si="29"/>
        <v/>
      </c>
      <c r="E227" s="183" t="s">
        <v>794</v>
      </c>
      <c r="F227" s="258" t="s">
        <v>3534</v>
      </c>
      <c r="G227" s="182">
        <v>0</v>
      </c>
      <c r="H227" s="182">
        <v>2583.94</v>
      </c>
      <c r="I227" s="182">
        <f t="shared" si="38"/>
        <v>2583.94</v>
      </c>
      <c r="K227" s="139" t="str">
        <f t="shared" si="39"/>
        <v>321</v>
      </c>
      <c r="L227" s="139" t="str">
        <f t="shared" si="40"/>
        <v>32</v>
      </c>
      <c r="V227" s="139" t="s">
        <v>2298</v>
      </c>
      <c r="W227" s="139" t="s">
        <v>2299</v>
      </c>
    </row>
    <row r="228" spans="1:23">
      <c r="A228" s="149">
        <v>52</v>
      </c>
      <c r="B228" s="258" t="str">
        <f t="shared" si="28"/>
        <v>Ostale pomoći</v>
      </c>
      <c r="C228" s="149" t="s">
        <v>3505</v>
      </c>
      <c r="D228" s="258" t="str">
        <f t="shared" si="29"/>
        <v/>
      </c>
      <c r="E228" s="183" t="s">
        <v>794</v>
      </c>
      <c r="F228" s="258" t="s">
        <v>3534</v>
      </c>
      <c r="G228" s="182">
        <v>0</v>
      </c>
      <c r="H228" s="182">
        <v>662</v>
      </c>
      <c r="I228" s="182">
        <f t="shared" si="38"/>
        <v>662</v>
      </c>
      <c r="K228" s="139" t="str">
        <f t="shared" si="39"/>
        <v>321</v>
      </c>
      <c r="L228" s="139" t="str">
        <f t="shared" si="40"/>
        <v>32</v>
      </c>
      <c r="V228" s="139" t="s">
        <v>2300</v>
      </c>
      <c r="W228" s="139" t="s">
        <v>2301</v>
      </c>
    </row>
    <row r="229" spans="1:23">
      <c r="A229" s="149">
        <v>52</v>
      </c>
      <c r="B229" s="258" t="str">
        <f t="shared" si="28"/>
        <v>Ostale pomoći</v>
      </c>
      <c r="C229" s="149" t="s">
        <v>3513</v>
      </c>
      <c r="D229" s="258" t="str">
        <f t="shared" si="29"/>
        <v/>
      </c>
      <c r="E229" s="183" t="s">
        <v>794</v>
      </c>
      <c r="F229" s="258" t="s">
        <v>3534</v>
      </c>
      <c r="G229" s="182">
        <v>0</v>
      </c>
      <c r="H229" s="182">
        <v>477</v>
      </c>
      <c r="I229" s="182">
        <f t="shared" si="38"/>
        <v>477</v>
      </c>
      <c r="K229" s="139" t="str">
        <f t="shared" si="39"/>
        <v>322</v>
      </c>
      <c r="L229" s="139" t="str">
        <f t="shared" si="40"/>
        <v>32</v>
      </c>
      <c r="V229" s="139" t="s">
        <v>2302</v>
      </c>
      <c r="W229" s="139" t="s">
        <v>2303</v>
      </c>
    </row>
    <row r="230" spans="1:23">
      <c r="A230" s="149">
        <v>52</v>
      </c>
      <c r="B230" s="258" t="str">
        <f t="shared" si="28"/>
        <v>Ostale pomoći</v>
      </c>
      <c r="C230" s="149" t="s">
        <v>3514</v>
      </c>
      <c r="D230" s="258" t="str">
        <f t="shared" si="29"/>
        <v/>
      </c>
      <c r="E230" s="183" t="s">
        <v>794</v>
      </c>
      <c r="F230" s="258" t="s">
        <v>3534</v>
      </c>
      <c r="G230" s="182">
        <v>0</v>
      </c>
      <c r="H230" s="182">
        <v>2493.75</v>
      </c>
      <c r="I230" s="182">
        <f t="shared" si="38"/>
        <v>2493.75</v>
      </c>
      <c r="K230" s="139" t="str">
        <f t="shared" si="39"/>
        <v>322</v>
      </c>
      <c r="L230" s="139" t="str">
        <f t="shared" si="40"/>
        <v>32</v>
      </c>
      <c r="V230" s="139" t="s">
        <v>2304</v>
      </c>
      <c r="W230" s="139" t="s">
        <v>2305</v>
      </c>
    </row>
    <row r="231" spans="1:23">
      <c r="A231" s="149">
        <v>52</v>
      </c>
      <c r="B231" s="258" t="str">
        <f t="shared" ref="B231:B294" si="41">IFERROR(VLOOKUP(A231,$M$7:$N$37,2,FALSE),"")</f>
        <v>Ostale pomoći</v>
      </c>
      <c r="C231" s="149" t="s">
        <v>3522</v>
      </c>
      <c r="D231" s="258" t="str">
        <f t="shared" si="29"/>
        <v/>
      </c>
      <c r="E231" s="183" t="s">
        <v>794</v>
      </c>
      <c r="F231" s="258" t="s">
        <v>3534</v>
      </c>
      <c r="G231" s="182">
        <v>0</v>
      </c>
      <c r="H231" s="182">
        <v>25000</v>
      </c>
      <c r="I231" s="182">
        <f t="shared" si="38"/>
        <v>25000</v>
      </c>
      <c r="K231" s="139" t="str">
        <f t="shared" si="39"/>
        <v>323</v>
      </c>
      <c r="L231" s="139" t="str">
        <f t="shared" si="40"/>
        <v>32</v>
      </c>
      <c r="V231" s="139" t="s">
        <v>2306</v>
      </c>
      <c r="W231" s="139" t="s">
        <v>2307</v>
      </c>
    </row>
    <row r="232" spans="1:23">
      <c r="A232" s="149">
        <v>52</v>
      </c>
      <c r="B232" s="258" t="str">
        <f t="shared" si="41"/>
        <v>Ostale pomoći</v>
      </c>
      <c r="C232" s="149" t="s">
        <v>3506</v>
      </c>
      <c r="D232" s="258" t="str">
        <f t="shared" ref="D232:D295" si="42">IFERROR(VLOOKUP(C232,$P$6:$R$214,2,FALSE),"")</f>
        <v/>
      </c>
      <c r="E232" s="183" t="s">
        <v>794</v>
      </c>
      <c r="F232" s="258" t="s">
        <v>3534</v>
      </c>
      <c r="G232" s="182">
        <v>0</v>
      </c>
      <c r="H232" s="182">
        <v>2162.3999999999996</v>
      </c>
      <c r="I232" s="182">
        <f t="shared" si="38"/>
        <v>2162.3999999999996</v>
      </c>
      <c r="K232" s="139" t="str">
        <f t="shared" si="39"/>
        <v>323</v>
      </c>
      <c r="L232" s="139" t="str">
        <f t="shared" si="40"/>
        <v>32</v>
      </c>
      <c r="V232" s="139" t="s">
        <v>2308</v>
      </c>
      <c r="W232" s="139" t="s">
        <v>2309</v>
      </c>
    </row>
    <row r="233" spans="1:23">
      <c r="A233" s="149">
        <v>52</v>
      </c>
      <c r="B233" s="258" t="str">
        <f t="shared" si="41"/>
        <v>Ostale pomoći</v>
      </c>
      <c r="C233" s="149" t="s">
        <v>3497</v>
      </c>
      <c r="D233" s="258" t="str">
        <f t="shared" si="42"/>
        <v/>
      </c>
      <c r="E233" s="183" t="s">
        <v>794</v>
      </c>
      <c r="F233" s="258" t="s">
        <v>3534</v>
      </c>
      <c r="G233" s="182">
        <v>0</v>
      </c>
      <c r="H233" s="182">
        <v>80</v>
      </c>
      <c r="I233" s="182">
        <f t="shared" si="38"/>
        <v>80</v>
      </c>
      <c r="K233" s="139" t="str">
        <f t="shared" si="39"/>
        <v>343</v>
      </c>
      <c r="L233" s="139" t="str">
        <f t="shared" si="40"/>
        <v>34</v>
      </c>
      <c r="V233" s="139" t="s">
        <v>2310</v>
      </c>
      <c r="W233" s="139" t="s">
        <v>2311</v>
      </c>
    </row>
    <row r="234" spans="1:23">
      <c r="A234" s="149">
        <v>52</v>
      </c>
      <c r="B234" s="258" t="str">
        <f t="shared" si="41"/>
        <v>Ostale pomoći</v>
      </c>
      <c r="C234" s="149" t="s">
        <v>3500</v>
      </c>
      <c r="D234" s="258" t="str">
        <f t="shared" si="42"/>
        <v/>
      </c>
      <c r="E234" s="183" t="s">
        <v>794</v>
      </c>
      <c r="F234" s="258" t="s">
        <v>3534</v>
      </c>
      <c r="G234" s="182">
        <v>0</v>
      </c>
      <c r="H234" s="182">
        <v>1154.9000000000001</v>
      </c>
      <c r="I234" s="182">
        <f t="shared" si="38"/>
        <v>1154.9000000000001</v>
      </c>
      <c r="K234" s="139" t="str">
        <f t="shared" si="39"/>
        <v>422</v>
      </c>
      <c r="L234" s="139" t="str">
        <f t="shared" si="40"/>
        <v>42</v>
      </c>
      <c r="V234" s="139" t="s">
        <v>2312</v>
      </c>
      <c r="W234" s="139" t="s">
        <v>2313</v>
      </c>
    </row>
    <row r="235" spans="1:23">
      <c r="A235" s="149">
        <v>52</v>
      </c>
      <c r="B235" s="258" t="str">
        <f t="shared" si="41"/>
        <v>Ostale pomoći</v>
      </c>
      <c r="C235" s="149" t="s">
        <v>3511</v>
      </c>
      <c r="D235" s="258" t="str">
        <f t="shared" si="42"/>
        <v/>
      </c>
      <c r="E235" s="183" t="s">
        <v>794</v>
      </c>
      <c r="F235" s="258" t="s">
        <v>3534</v>
      </c>
      <c r="G235" s="182">
        <v>0</v>
      </c>
      <c r="H235" s="182">
        <v>61150</v>
      </c>
      <c r="I235" s="182">
        <f t="shared" si="38"/>
        <v>61150</v>
      </c>
      <c r="K235" s="139" t="str">
        <f t="shared" si="39"/>
        <v>422</v>
      </c>
      <c r="L235" s="139" t="str">
        <f t="shared" si="40"/>
        <v>42</v>
      </c>
      <c r="V235" s="139" t="s">
        <v>2314</v>
      </c>
      <c r="W235" s="139" t="s">
        <v>2251</v>
      </c>
    </row>
    <row r="236" spans="1:23">
      <c r="A236" s="149">
        <v>51</v>
      </c>
      <c r="B236" s="258" t="str">
        <f t="shared" si="41"/>
        <v>Pomoći EU</v>
      </c>
      <c r="C236" s="149" t="s">
        <v>3503</v>
      </c>
      <c r="D236" s="258" t="str">
        <f t="shared" si="42"/>
        <v/>
      </c>
      <c r="E236" s="183" t="s">
        <v>794</v>
      </c>
      <c r="F236" s="258" t="s">
        <v>3535</v>
      </c>
      <c r="G236" s="182">
        <v>0</v>
      </c>
      <c r="H236" s="182">
        <v>25708.609999999997</v>
      </c>
      <c r="I236" s="182">
        <f t="shared" si="38"/>
        <v>25708.609999999997</v>
      </c>
      <c r="K236" s="139" t="str">
        <f t="shared" si="39"/>
        <v>321</v>
      </c>
      <c r="L236" s="139" t="str">
        <f t="shared" si="40"/>
        <v>32</v>
      </c>
      <c r="V236" s="139" t="s">
        <v>2315</v>
      </c>
      <c r="W236" s="139" t="s">
        <v>2316</v>
      </c>
    </row>
    <row r="237" spans="1:23">
      <c r="A237" s="149">
        <v>51</v>
      </c>
      <c r="B237" s="258" t="str">
        <f t="shared" si="41"/>
        <v>Pomoći EU</v>
      </c>
      <c r="C237" s="149" t="s">
        <v>3513</v>
      </c>
      <c r="D237" s="258" t="str">
        <f t="shared" si="42"/>
        <v/>
      </c>
      <c r="E237" s="183" t="s">
        <v>794</v>
      </c>
      <c r="F237" s="258" t="s">
        <v>3535</v>
      </c>
      <c r="G237" s="182">
        <v>0</v>
      </c>
      <c r="H237" s="182">
        <v>1358.28</v>
      </c>
      <c r="I237" s="182">
        <f t="shared" si="38"/>
        <v>1358.28</v>
      </c>
      <c r="K237" s="139" t="str">
        <f t="shared" si="39"/>
        <v>322</v>
      </c>
      <c r="L237" s="139" t="str">
        <f t="shared" si="40"/>
        <v>32</v>
      </c>
      <c r="V237" s="139" t="s">
        <v>2317</v>
      </c>
      <c r="W237" s="139" t="s">
        <v>2318</v>
      </c>
    </row>
    <row r="238" spans="1:23">
      <c r="A238" s="149">
        <v>51</v>
      </c>
      <c r="B238" s="258" t="str">
        <f t="shared" si="41"/>
        <v>Pomoći EU</v>
      </c>
      <c r="C238" s="149" t="s">
        <v>3507</v>
      </c>
      <c r="D238" s="258" t="str">
        <f t="shared" si="42"/>
        <v/>
      </c>
      <c r="E238" s="183" t="s">
        <v>794</v>
      </c>
      <c r="F238" s="258" t="s">
        <v>3535</v>
      </c>
      <c r="G238" s="182">
        <v>0</v>
      </c>
      <c r="H238" s="182">
        <v>2600.8000000000002</v>
      </c>
      <c r="I238" s="182">
        <f t="shared" si="38"/>
        <v>2600.8000000000002</v>
      </c>
      <c r="K238" s="139" t="str">
        <f t="shared" si="39"/>
        <v>323</v>
      </c>
      <c r="L238" s="139" t="str">
        <f t="shared" si="40"/>
        <v>32</v>
      </c>
      <c r="V238" s="139" t="s">
        <v>2319</v>
      </c>
      <c r="W238" s="139" t="s">
        <v>2320</v>
      </c>
    </row>
    <row r="239" spans="1:23">
      <c r="A239" s="149">
        <v>51</v>
      </c>
      <c r="B239" s="258" t="str">
        <f t="shared" si="41"/>
        <v>Pomoći EU</v>
      </c>
      <c r="C239" s="149" t="s">
        <v>3508</v>
      </c>
      <c r="D239" s="258" t="str">
        <f t="shared" si="42"/>
        <v/>
      </c>
      <c r="E239" s="183" t="s">
        <v>794</v>
      </c>
      <c r="F239" s="258" t="s">
        <v>3535</v>
      </c>
      <c r="G239" s="182">
        <v>0</v>
      </c>
      <c r="H239" s="182">
        <v>448.5</v>
      </c>
      <c r="I239" s="182">
        <f t="shared" si="38"/>
        <v>448.5</v>
      </c>
      <c r="K239" s="139" t="str">
        <f t="shared" si="39"/>
        <v>324</v>
      </c>
      <c r="L239" s="139" t="str">
        <f t="shared" si="40"/>
        <v>32</v>
      </c>
      <c r="V239" s="139" t="s">
        <v>2321</v>
      </c>
      <c r="W239" s="139" t="s">
        <v>2322</v>
      </c>
    </row>
    <row r="240" spans="1:23">
      <c r="A240" s="149">
        <v>51</v>
      </c>
      <c r="B240" s="258" t="str">
        <f t="shared" si="41"/>
        <v>Pomoći EU</v>
      </c>
      <c r="C240" s="149" t="s">
        <v>3495</v>
      </c>
      <c r="D240" s="258" t="str">
        <f t="shared" si="42"/>
        <v/>
      </c>
      <c r="E240" s="183" t="s">
        <v>794</v>
      </c>
      <c r="F240" s="258" t="s">
        <v>3535</v>
      </c>
      <c r="G240" s="182">
        <v>0</v>
      </c>
      <c r="H240" s="182">
        <v>3296.86</v>
      </c>
      <c r="I240" s="182">
        <f t="shared" si="38"/>
        <v>3296.86</v>
      </c>
      <c r="K240" s="139" t="str">
        <f t="shared" si="39"/>
        <v>329</v>
      </c>
      <c r="L240" s="139" t="str">
        <f t="shared" si="40"/>
        <v>32</v>
      </c>
      <c r="V240" s="139" t="s">
        <v>2323</v>
      </c>
      <c r="W240" s="139" t="s">
        <v>2324</v>
      </c>
    </row>
    <row r="241" spans="1:23">
      <c r="A241" s="149">
        <v>51</v>
      </c>
      <c r="B241" s="258" t="str">
        <f t="shared" si="41"/>
        <v>Pomoći EU</v>
      </c>
      <c r="C241" s="149" t="s">
        <v>3500</v>
      </c>
      <c r="D241" s="258" t="str">
        <f t="shared" si="42"/>
        <v/>
      </c>
      <c r="E241" s="183" t="s">
        <v>794</v>
      </c>
      <c r="F241" s="258" t="s">
        <v>3535</v>
      </c>
      <c r="G241" s="182">
        <v>0</v>
      </c>
      <c r="H241" s="182">
        <v>2065</v>
      </c>
      <c r="I241" s="182">
        <f t="shared" si="38"/>
        <v>2065</v>
      </c>
      <c r="K241" s="139" t="str">
        <f t="shared" si="39"/>
        <v>422</v>
      </c>
      <c r="L241" s="139" t="str">
        <f t="shared" si="40"/>
        <v>42</v>
      </c>
      <c r="V241" s="139" t="s">
        <v>2325</v>
      </c>
      <c r="W241" s="139" t="s">
        <v>2326</v>
      </c>
    </row>
    <row r="242" spans="1:23">
      <c r="A242" s="149">
        <v>52</v>
      </c>
      <c r="B242" s="258" t="str">
        <f t="shared" si="41"/>
        <v>Ostale pomoći</v>
      </c>
      <c r="C242" s="149" t="s">
        <v>3513</v>
      </c>
      <c r="D242" s="258" t="str">
        <f t="shared" si="42"/>
        <v/>
      </c>
      <c r="E242" s="183" t="s">
        <v>794</v>
      </c>
      <c r="F242" s="258" t="s">
        <v>3537</v>
      </c>
      <c r="G242" s="182">
        <v>0</v>
      </c>
      <c r="H242" s="182">
        <v>21457.22</v>
      </c>
      <c r="I242" s="182">
        <f t="shared" si="38"/>
        <v>21457.22</v>
      </c>
      <c r="K242" s="139" t="str">
        <f t="shared" si="39"/>
        <v>322</v>
      </c>
      <c r="L242" s="139" t="str">
        <f t="shared" si="40"/>
        <v>32</v>
      </c>
      <c r="V242" s="139" t="s">
        <v>2327</v>
      </c>
      <c r="W242" s="139" t="s">
        <v>2328</v>
      </c>
    </row>
    <row r="243" spans="1:23">
      <c r="A243" s="149">
        <v>52</v>
      </c>
      <c r="B243" s="258" t="str">
        <f t="shared" si="41"/>
        <v>Ostale pomoći</v>
      </c>
      <c r="C243" s="149" t="s">
        <v>3536</v>
      </c>
      <c r="D243" s="258" t="str">
        <f t="shared" si="42"/>
        <v/>
      </c>
      <c r="E243" s="183" t="s">
        <v>794</v>
      </c>
      <c r="F243" s="258" t="s">
        <v>3537</v>
      </c>
      <c r="G243" s="182">
        <v>0</v>
      </c>
      <c r="H243" s="182">
        <v>449</v>
      </c>
      <c r="I243" s="182">
        <f t="shared" si="38"/>
        <v>449</v>
      </c>
      <c r="K243" s="139" t="str">
        <f t="shared" si="39"/>
        <v>322</v>
      </c>
      <c r="L243" s="139" t="str">
        <f t="shared" si="40"/>
        <v>32</v>
      </c>
      <c r="V243" s="139" t="s">
        <v>2329</v>
      </c>
      <c r="W243" s="139" t="s">
        <v>2330</v>
      </c>
    </row>
    <row r="244" spans="1:23">
      <c r="A244" s="149">
        <v>52</v>
      </c>
      <c r="B244" s="258" t="str">
        <f t="shared" si="41"/>
        <v>Ostale pomoći</v>
      </c>
      <c r="C244" s="149" t="s">
        <v>3515</v>
      </c>
      <c r="D244" s="258" t="str">
        <f t="shared" si="42"/>
        <v/>
      </c>
      <c r="E244" s="183" t="s">
        <v>794</v>
      </c>
      <c r="F244" s="258" t="s">
        <v>3537</v>
      </c>
      <c r="G244" s="182">
        <v>0</v>
      </c>
      <c r="H244" s="182">
        <v>4420</v>
      </c>
      <c r="I244" s="182">
        <f t="shared" si="38"/>
        <v>4420</v>
      </c>
      <c r="K244" s="139" t="str">
        <f t="shared" si="39"/>
        <v>323</v>
      </c>
      <c r="L244" s="139" t="str">
        <f t="shared" si="40"/>
        <v>32</v>
      </c>
      <c r="V244" s="139" t="s">
        <v>2331</v>
      </c>
      <c r="W244" s="139" t="s">
        <v>2332</v>
      </c>
    </row>
    <row r="245" spans="1:23">
      <c r="A245" s="149">
        <v>52</v>
      </c>
      <c r="B245" s="258" t="str">
        <f t="shared" si="41"/>
        <v>Ostale pomoći</v>
      </c>
      <c r="C245" s="149" t="s">
        <v>3522</v>
      </c>
      <c r="D245" s="258" t="str">
        <f t="shared" si="42"/>
        <v/>
      </c>
      <c r="E245" s="183" t="s">
        <v>794</v>
      </c>
      <c r="F245" s="258" t="s">
        <v>3537</v>
      </c>
      <c r="G245" s="182">
        <v>0</v>
      </c>
      <c r="H245" s="182">
        <v>1770</v>
      </c>
      <c r="I245" s="182">
        <f t="shared" si="38"/>
        <v>1770</v>
      </c>
      <c r="K245" s="139" t="str">
        <f t="shared" si="39"/>
        <v>323</v>
      </c>
      <c r="L245" s="139" t="str">
        <f t="shared" si="40"/>
        <v>32</v>
      </c>
      <c r="V245" s="139" t="s">
        <v>2333</v>
      </c>
      <c r="W245" s="139" t="s">
        <v>2334</v>
      </c>
    </row>
    <row r="246" spans="1:23">
      <c r="A246" s="149">
        <v>52</v>
      </c>
      <c r="B246" s="258" t="str">
        <f t="shared" si="41"/>
        <v>Ostale pomoći</v>
      </c>
      <c r="C246" s="149" t="s">
        <v>3506</v>
      </c>
      <c r="D246" s="258" t="str">
        <f t="shared" si="42"/>
        <v/>
      </c>
      <c r="E246" s="183" t="s">
        <v>794</v>
      </c>
      <c r="F246" s="258" t="s">
        <v>3537</v>
      </c>
      <c r="G246" s="182">
        <v>0</v>
      </c>
      <c r="H246" s="182">
        <v>10552.92</v>
      </c>
      <c r="I246" s="182">
        <f t="shared" si="38"/>
        <v>10552.92</v>
      </c>
      <c r="K246" s="139" t="str">
        <f t="shared" si="39"/>
        <v>323</v>
      </c>
      <c r="L246" s="139" t="str">
        <f t="shared" si="40"/>
        <v>32</v>
      </c>
      <c r="V246" s="139" t="s">
        <v>2335</v>
      </c>
      <c r="W246" s="139" t="s">
        <v>2336</v>
      </c>
    </row>
    <row r="247" spans="1:23">
      <c r="A247" s="149">
        <v>52</v>
      </c>
      <c r="B247" s="258" t="str">
        <f t="shared" si="41"/>
        <v>Ostale pomoći</v>
      </c>
      <c r="C247" s="149" t="s">
        <v>3507</v>
      </c>
      <c r="D247" s="258" t="str">
        <f t="shared" si="42"/>
        <v/>
      </c>
      <c r="E247" s="183" t="s">
        <v>794</v>
      </c>
      <c r="F247" s="258" t="s">
        <v>3537</v>
      </c>
      <c r="G247" s="182">
        <v>0</v>
      </c>
      <c r="H247" s="182">
        <v>66982.760000000009</v>
      </c>
      <c r="I247" s="182">
        <f t="shared" si="38"/>
        <v>66982.760000000009</v>
      </c>
      <c r="K247" s="139" t="str">
        <f t="shared" si="39"/>
        <v>323</v>
      </c>
      <c r="L247" s="139" t="str">
        <f t="shared" si="40"/>
        <v>32</v>
      </c>
      <c r="V247" s="139" t="s">
        <v>2337</v>
      </c>
      <c r="W247" s="139" t="s">
        <v>2338</v>
      </c>
    </row>
    <row r="248" spans="1:23">
      <c r="A248" s="149">
        <v>52</v>
      </c>
      <c r="B248" s="258" t="str">
        <f t="shared" si="41"/>
        <v>Ostale pomoći</v>
      </c>
      <c r="C248" s="149" t="s">
        <v>3508</v>
      </c>
      <c r="D248" s="258" t="str">
        <f t="shared" si="42"/>
        <v/>
      </c>
      <c r="E248" s="183" t="s">
        <v>794</v>
      </c>
      <c r="F248" s="258" t="s">
        <v>3537</v>
      </c>
      <c r="G248" s="182">
        <v>0</v>
      </c>
      <c r="H248" s="182">
        <v>2395.4</v>
      </c>
      <c r="I248" s="182">
        <f t="shared" si="38"/>
        <v>2395.4</v>
      </c>
      <c r="K248" s="139" t="str">
        <f t="shared" si="39"/>
        <v>324</v>
      </c>
      <c r="L248" s="139" t="str">
        <f t="shared" si="40"/>
        <v>32</v>
      </c>
      <c r="V248" s="139" t="s">
        <v>2339</v>
      </c>
      <c r="W248" s="139" t="s">
        <v>2340</v>
      </c>
    </row>
    <row r="249" spans="1:23">
      <c r="A249" s="149">
        <v>52</v>
      </c>
      <c r="B249" s="258" t="str">
        <f t="shared" si="41"/>
        <v>Ostale pomoći</v>
      </c>
      <c r="C249" s="149" t="s">
        <v>3495</v>
      </c>
      <c r="D249" s="258" t="str">
        <f t="shared" si="42"/>
        <v/>
      </c>
      <c r="E249" s="183" t="s">
        <v>794</v>
      </c>
      <c r="F249" s="258" t="s">
        <v>3537</v>
      </c>
      <c r="G249" s="182">
        <v>0</v>
      </c>
      <c r="H249" s="182">
        <v>13100</v>
      </c>
      <c r="I249" s="182">
        <f t="shared" si="38"/>
        <v>13100</v>
      </c>
      <c r="K249" s="139" t="str">
        <f t="shared" si="39"/>
        <v>329</v>
      </c>
      <c r="L249" s="139" t="str">
        <f t="shared" si="40"/>
        <v>32</v>
      </c>
      <c r="V249" s="139" t="s">
        <v>2341</v>
      </c>
      <c r="W249" s="139" t="s">
        <v>2342</v>
      </c>
    </row>
    <row r="250" spans="1:23">
      <c r="A250" s="149">
        <v>52</v>
      </c>
      <c r="B250" s="258" t="str">
        <f t="shared" si="41"/>
        <v>Ostale pomoći</v>
      </c>
      <c r="C250" s="149" t="s">
        <v>3523</v>
      </c>
      <c r="D250" s="258" t="str">
        <f t="shared" si="42"/>
        <v/>
      </c>
      <c r="E250" s="183" t="s">
        <v>794</v>
      </c>
      <c r="F250" s="258" t="s">
        <v>3537</v>
      </c>
      <c r="G250" s="182">
        <v>0</v>
      </c>
      <c r="H250" s="182">
        <v>20233.060000000001</v>
      </c>
      <c r="I250" s="182">
        <f t="shared" si="38"/>
        <v>20233.060000000001</v>
      </c>
      <c r="K250" s="139" t="str">
        <f t="shared" si="39"/>
        <v>422</v>
      </c>
      <c r="L250" s="139" t="str">
        <f t="shared" si="40"/>
        <v>42</v>
      </c>
      <c r="V250" s="139" t="s">
        <v>2343</v>
      </c>
      <c r="W250" s="139" t="s">
        <v>2344</v>
      </c>
    </row>
    <row r="251" spans="1:23">
      <c r="A251" s="149">
        <v>52</v>
      </c>
      <c r="B251" s="258" t="str">
        <f t="shared" si="41"/>
        <v>Ostale pomoći</v>
      </c>
      <c r="C251" s="149" t="s">
        <v>3511</v>
      </c>
      <c r="D251" s="258" t="str">
        <f t="shared" si="42"/>
        <v/>
      </c>
      <c r="E251" s="183" t="s">
        <v>794</v>
      </c>
      <c r="F251" s="258" t="s">
        <v>3537</v>
      </c>
      <c r="G251" s="182">
        <v>0</v>
      </c>
      <c r="H251" s="182">
        <v>12956.03</v>
      </c>
      <c r="I251" s="182">
        <f t="shared" si="38"/>
        <v>12956.03</v>
      </c>
      <c r="K251" s="139" t="str">
        <f t="shared" si="39"/>
        <v>422</v>
      </c>
      <c r="L251" s="139" t="str">
        <f t="shared" si="40"/>
        <v>42</v>
      </c>
      <c r="V251" s="139" t="s">
        <v>2345</v>
      </c>
      <c r="W251" s="139" t="s">
        <v>2346</v>
      </c>
    </row>
    <row r="252" spans="1:23">
      <c r="A252" s="149">
        <v>52</v>
      </c>
      <c r="B252" s="258" t="str">
        <f t="shared" si="41"/>
        <v>Ostale pomoći</v>
      </c>
      <c r="C252" s="149" t="s">
        <v>3501</v>
      </c>
      <c r="D252" s="258" t="str">
        <f t="shared" si="42"/>
        <v/>
      </c>
      <c r="E252" s="183" t="s">
        <v>794</v>
      </c>
      <c r="F252" s="258" t="s">
        <v>3537</v>
      </c>
      <c r="G252" s="182">
        <v>0</v>
      </c>
      <c r="H252" s="182">
        <v>712.8</v>
      </c>
      <c r="I252" s="182">
        <f t="shared" si="38"/>
        <v>712.8</v>
      </c>
      <c r="K252" s="139" t="str">
        <f t="shared" si="39"/>
        <v>424</v>
      </c>
      <c r="L252" s="139" t="str">
        <f t="shared" si="40"/>
        <v>42</v>
      </c>
      <c r="V252" s="139" t="s">
        <v>2347</v>
      </c>
      <c r="W252" s="139" t="s">
        <v>2348</v>
      </c>
    </row>
    <row r="253" spans="1:23">
      <c r="A253" s="149">
        <v>52</v>
      </c>
      <c r="B253" s="258" t="str">
        <f t="shared" si="41"/>
        <v>Ostale pomoći</v>
      </c>
      <c r="C253" s="149" t="s">
        <v>3502</v>
      </c>
      <c r="D253" s="258" t="str">
        <f t="shared" si="42"/>
        <v/>
      </c>
      <c r="E253" s="183" t="s">
        <v>794</v>
      </c>
      <c r="F253" s="258" t="s">
        <v>3537</v>
      </c>
      <c r="G253" s="182">
        <v>0</v>
      </c>
      <c r="H253" s="182">
        <v>23250</v>
      </c>
      <c r="I253" s="182">
        <f t="shared" ref="I253:I272" si="43">+H253-G253</f>
        <v>23250</v>
      </c>
      <c r="K253" s="139" t="str">
        <f t="shared" si="39"/>
        <v>426</v>
      </c>
      <c r="L253" s="139" t="str">
        <f t="shared" si="40"/>
        <v>42</v>
      </c>
      <c r="V253" s="139" t="s">
        <v>2349</v>
      </c>
      <c r="W253" s="139" t="s">
        <v>2350</v>
      </c>
    </row>
    <row r="254" spans="1:23">
      <c r="A254" s="149">
        <v>51</v>
      </c>
      <c r="B254" s="258" t="str">
        <f t="shared" si="41"/>
        <v>Pomoći EU</v>
      </c>
      <c r="C254" s="149" t="s">
        <v>3511</v>
      </c>
      <c r="D254" s="258" t="str">
        <f t="shared" si="42"/>
        <v/>
      </c>
      <c r="E254" s="183" t="s">
        <v>794</v>
      </c>
      <c r="F254" s="258" t="s">
        <v>3538</v>
      </c>
      <c r="G254" s="182">
        <v>0</v>
      </c>
      <c r="H254" s="182">
        <v>88232</v>
      </c>
      <c r="I254" s="182">
        <f t="shared" si="43"/>
        <v>88232</v>
      </c>
      <c r="K254" s="139" t="str">
        <f t="shared" si="39"/>
        <v>422</v>
      </c>
      <c r="L254" s="139" t="str">
        <f t="shared" si="40"/>
        <v>42</v>
      </c>
      <c r="V254" s="139" t="s">
        <v>2351</v>
      </c>
      <c r="W254" s="139" t="s">
        <v>2352</v>
      </c>
    </row>
    <row r="255" spans="1:23">
      <c r="A255" s="149">
        <v>52</v>
      </c>
      <c r="B255" s="258" t="str">
        <f t="shared" si="41"/>
        <v>Ostale pomoći</v>
      </c>
      <c r="C255" s="149" t="s">
        <v>3518</v>
      </c>
      <c r="D255" s="258" t="str">
        <f t="shared" si="42"/>
        <v/>
      </c>
      <c r="E255" s="183" t="s">
        <v>794</v>
      </c>
      <c r="F255" s="258" t="s">
        <v>3539</v>
      </c>
      <c r="G255" s="182">
        <v>0</v>
      </c>
      <c r="H255" s="182">
        <v>93865.68</v>
      </c>
      <c r="I255" s="182">
        <f t="shared" si="43"/>
        <v>93865.68</v>
      </c>
      <c r="K255" s="139" t="str">
        <f t="shared" si="39"/>
        <v>311</v>
      </c>
      <c r="L255" s="139" t="str">
        <f t="shared" si="40"/>
        <v>31</v>
      </c>
      <c r="V255" s="139" t="s">
        <v>2353</v>
      </c>
      <c r="W255" s="139" t="s">
        <v>2354</v>
      </c>
    </row>
    <row r="256" spans="1:23">
      <c r="A256" s="149">
        <v>52</v>
      </c>
      <c r="B256" s="258" t="str">
        <f t="shared" si="41"/>
        <v>Ostale pomoći</v>
      </c>
      <c r="C256" s="149" t="s">
        <v>3519</v>
      </c>
      <c r="D256" s="258" t="str">
        <f t="shared" si="42"/>
        <v/>
      </c>
      <c r="E256" s="183" t="s">
        <v>794</v>
      </c>
      <c r="F256" s="258" t="s">
        <v>3539</v>
      </c>
      <c r="G256" s="182">
        <v>0</v>
      </c>
      <c r="H256" s="182">
        <v>3000</v>
      </c>
      <c r="I256" s="182">
        <f t="shared" si="43"/>
        <v>3000</v>
      </c>
      <c r="K256" s="139" t="str">
        <f t="shared" si="39"/>
        <v>312</v>
      </c>
      <c r="L256" s="139" t="str">
        <f t="shared" si="40"/>
        <v>31</v>
      </c>
      <c r="V256" s="139" t="s">
        <v>2355</v>
      </c>
      <c r="W256" s="139" t="s">
        <v>2356</v>
      </c>
    </row>
    <row r="257" spans="1:23">
      <c r="A257" s="149">
        <v>52</v>
      </c>
      <c r="B257" s="258" t="str">
        <f t="shared" si="41"/>
        <v>Ostale pomoći</v>
      </c>
      <c r="C257" s="149" t="s">
        <v>3520</v>
      </c>
      <c r="D257" s="258" t="str">
        <f t="shared" si="42"/>
        <v/>
      </c>
      <c r="E257" s="183" t="s">
        <v>794</v>
      </c>
      <c r="F257" s="258" t="s">
        <v>3539</v>
      </c>
      <c r="G257" s="182">
        <v>0</v>
      </c>
      <c r="H257" s="182">
        <v>15487.84</v>
      </c>
      <c r="I257" s="182">
        <f t="shared" si="43"/>
        <v>15487.84</v>
      </c>
      <c r="K257" s="139" t="str">
        <f t="shared" si="39"/>
        <v>313</v>
      </c>
      <c r="L257" s="139" t="str">
        <f t="shared" si="40"/>
        <v>31</v>
      </c>
      <c r="V257" s="139" t="s">
        <v>2357</v>
      </c>
      <c r="W257" s="139" t="s">
        <v>2358</v>
      </c>
    </row>
    <row r="258" spans="1:23">
      <c r="A258" s="149">
        <v>52</v>
      </c>
      <c r="B258" s="258" t="str">
        <f t="shared" si="41"/>
        <v>Ostale pomoći</v>
      </c>
      <c r="C258" s="149" t="s">
        <v>3503</v>
      </c>
      <c r="D258" s="258" t="str">
        <f t="shared" si="42"/>
        <v/>
      </c>
      <c r="E258" s="183" t="s">
        <v>794</v>
      </c>
      <c r="F258" s="258" t="s">
        <v>3539</v>
      </c>
      <c r="G258" s="182">
        <v>0</v>
      </c>
      <c r="H258" s="182">
        <v>3670</v>
      </c>
      <c r="I258" s="182">
        <f t="shared" si="43"/>
        <v>3670</v>
      </c>
      <c r="K258" s="139" t="str">
        <f t="shared" si="39"/>
        <v>321</v>
      </c>
      <c r="L258" s="139" t="str">
        <f t="shared" si="40"/>
        <v>32</v>
      </c>
      <c r="V258" s="139" t="s">
        <v>2359</v>
      </c>
      <c r="W258" s="139" t="s">
        <v>2360</v>
      </c>
    </row>
    <row r="259" spans="1:23">
      <c r="A259" s="149">
        <v>52</v>
      </c>
      <c r="B259" s="258" t="str">
        <f t="shared" si="41"/>
        <v>Ostale pomoći</v>
      </c>
      <c r="C259" s="149" t="s">
        <v>3516</v>
      </c>
      <c r="D259" s="258" t="str">
        <f t="shared" si="42"/>
        <v/>
      </c>
      <c r="E259" s="183" t="s">
        <v>794</v>
      </c>
      <c r="F259" s="258" t="s">
        <v>3539</v>
      </c>
      <c r="G259" s="182">
        <v>0</v>
      </c>
      <c r="H259" s="182">
        <v>5355</v>
      </c>
      <c r="I259" s="182">
        <f t="shared" si="43"/>
        <v>5355</v>
      </c>
      <c r="K259" s="139" t="str">
        <f t="shared" si="39"/>
        <v>321</v>
      </c>
      <c r="L259" s="139" t="str">
        <f t="shared" si="40"/>
        <v>32</v>
      </c>
      <c r="V259" s="139" t="s">
        <v>2361</v>
      </c>
      <c r="W259" s="139" t="s">
        <v>2362</v>
      </c>
    </row>
    <row r="260" spans="1:23">
      <c r="A260" s="149">
        <v>52</v>
      </c>
      <c r="B260" s="258" t="str">
        <f t="shared" si="41"/>
        <v>Ostale pomoći</v>
      </c>
      <c r="C260" s="149" t="s">
        <v>3513</v>
      </c>
      <c r="D260" s="258" t="str">
        <f t="shared" si="42"/>
        <v/>
      </c>
      <c r="E260" s="183" t="s">
        <v>794</v>
      </c>
      <c r="F260" s="258" t="s">
        <v>3539</v>
      </c>
      <c r="G260" s="182">
        <v>0</v>
      </c>
      <c r="H260" s="182">
        <v>139.94999999999999</v>
      </c>
      <c r="I260" s="182">
        <f t="shared" si="43"/>
        <v>139.94999999999999</v>
      </c>
      <c r="K260" s="139" t="str">
        <f t="shared" si="39"/>
        <v>322</v>
      </c>
      <c r="L260" s="139" t="str">
        <f t="shared" si="40"/>
        <v>32</v>
      </c>
      <c r="V260" s="139" t="s">
        <v>2363</v>
      </c>
      <c r="W260" s="139" t="s">
        <v>2364</v>
      </c>
    </row>
    <row r="261" spans="1:23">
      <c r="A261" s="149">
        <v>52</v>
      </c>
      <c r="B261" s="258" t="str">
        <f t="shared" si="41"/>
        <v>Ostale pomoći</v>
      </c>
      <c r="C261" s="149" t="s">
        <v>3514</v>
      </c>
      <c r="D261" s="258" t="str">
        <f t="shared" si="42"/>
        <v/>
      </c>
      <c r="E261" s="183" t="s">
        <v>794</v>
      </c>
      <c r="F261" s="258" t="s">
        <v>3539</v>
      </c>
      <c r="G261" s="182">
        <v>0</v>
      </c>
      <c r="H261" s="182">
        <v>4301.8</v>
      </c>
      <c r="I261" s="182">
        <f t="shared" si="43"/>
        <v>4301.8</v>
      </c>
      <c r="K261" s="139" t="str">
        <f t="shared" si="39"/>
        <v>322</v>
      </c>
      <c r="L261" s="139" t="str">
        <f t="shared" si="40"/>
        <v>32</v>
      </c>
      <c r="V261" s="139" t="s">
        <v>2365</v>
      </c>
      <c r="W261" s="139" t="s">
        <v>2366</v>
      </c>
    </row>
    <row r="262" spans="1:23">
      <c r="A262" s="149">
        <v>52</v>
      </c>
      <c r="B262" s="258" t="str">
        <f t="shared" si="41"/>
        <v>Ostale pomoći</v>
      </c>
      <c r="C262" s="149" t="s">
        <v>3508</v>
      </c>
      <c r="D262" s="258" t="str">
        <f t="shared" si="42"/>
        <v/>
      </c>
      <c r="E262" s="183" t="s">
        <v>794</v>
      </c>
      <c r="F262" s="258" t="s">
        <v>3539</v>
      </c>
      <c r="G262" s="182">
        <v>0</v>
      </c>
      <c r="H262" s="182">
        <v>240</v>
      </c>
      <c r="I262" s="182">
        <f t="shared" si="43"/>
        <v>240</v>
      </c>
      <c r="K262" s="139" t="str">
        <f t="shared" si="39"/>
        <v>324</v>
      </c>
      <c r="L262" s="139" t="str">
        <f t="shared" si="40"/>
        <v>32</v>
      </c>
      <c r="V262" s="139" t="s">
        <v>2367</v>
      </c>
      <c r="W262" s="139" t="s">
        <v>2368</v>
      </c>
    </row>
    <row r="263" spans="1:23">
      <c r="A263" s="149">
        <v>52</v>
      </c>
      <c r="B263" s="258" t="str">
        <f t="shared" si="41"/>
        <v>Ostale pomoći</v>
      </c>
      <c r="C263" s="149" t="s">
        <v>3511</v>
      </c>
      <c r="D263" s="258" t="str">
        <f t="shared" si="42"/>
        <v/>
      </c>
      <c r="E263" s="183" t="s">
        <v>794</v>
      </c>
      <c r="F263" s="258" t="s">
        <v>3539</v>
      </c>
      <c r="G263" s="182">
        <v>0</v>
      </c>
      <c r="H263" s="182">
        <v>54196.36</v>
      </c>
      <c r="I263" s="182">
        <f t="shared" si="43"/>
        <v>54196.36</v>
      </c>
      <c r="K263" s="139" t="str">
        <f t="shared" si="39"/>
        <v>422</v>
      </c>
      <c r="L263" s="139" t="str">
        <f t="shared" si="40"/>
        <v>42</v>
      </c>
      <c r="V263" s="139" t="s">
        <v>2369</v>
      </c>
      <c r="W263" s="139" t="s">
        <v>2370</v>
      </c>
    </row>
    <row r="264" spans="1:23">
      <c r="A264" s="149">
        <v>52</v>
      </c>
      <c r="B264" s="258" t="str">
        <f t="shared" si="41"/>
        <v>Ostale pomoći</v>
      </c>
      <c r="C264" s="149" t="s">
        <v>3518</v>
      </c>
      <c r="D264" s="258" t="str">
        <f t="shared" si="42"/>
        <v/>
      </c>
      <c r="E264" s="183" t="s">
        <v>794</v>
      </c>
      <c r="F264" s="258" t="s">
        <v>3540</v>
      </c>
      <c r="G264" s="182">
        <v>0</v>
      </c>
      <c r="H264" s="182">
        <v>19996.560000000001</v>
      </c>
      <c r="I264" s="182">
        <f t="shared" si="43"/>
        <v>19996.560000000001</v>
      </c>
      <c r="K264" s="139" t="str">
        <f t="shared" si="39"/>
        <v>311</v>
      </c>
      <c r="L264" s="139" t="str">
        <f t="shared" si="40"/>
        <v>31</v>
      </c>
      <c r="V264" s="139" t="s">
        <v>2371</v>
      </c>
      <c r="W264" s="139" t="s">
        <v>2372</v>
      </c>
    </row>
    <row r="265" spans="1:23">
      <c r="A265" s="149">
        <v>52</v>
      </c>
      <c r="B265" s="258" t="str">
        <f t="shared" si="41"/>
        <v>Ostale pomoći</v>
      </c>
      <c r="C265" s="149" t="s">
        <v>3520</v>
      </c>
      <c r="D265" s="258" t="str">
        <f t="shared" si="42"/>
        <v/>
      </c>
      <c r="E265" s="183" t="s">
        <v>794</v>
      </c>
      <c r="F265" s="258" t="s">
        <v>3540</v>
      </c>
      <c r="G265" s="182">
        <v>0</v>
      </c>
      <c r="H265" s="182">
        <v>3299.44</v>
      </c>
      <c r="I265" s="182">
        <f t="shared" si="43"/>
        <v>3299.44</v>
      </c>
      <c r="K265" s="139" t="str">
        <f t="shared" si="39"/>
        <v>313</v>
      </c>
      <c r="L265" s="139" t="str">
        <f t="shared" si="40"/>
        <v>31</v>
      </c>
      <c r="V265" s="139" t="s">
        <v>2373</v>
      </c>
      <c r="W265" s="139" t="s">
        <v>2374</v>
      </c>
    </row>
    <row r="266" spans="1:23">
      <c r="A266" s="149">
        <v>52</v>
      </c>
      <c r="B266" s="258" t="str">
        <f t="shared" si="41"/>
        <v>Ostale pomoći</v>
      </c>
      <c r="C266" s="149" t="s">
        <v>3503</v>
      </c>
      <c r="D266" s="258" t="str">
        <f t="shared" si="42"/>
        <v/>
      </c>
      <c r="E266" s="183" t="s">
        <v>794</v>
      </c>
      <c r="F266" s="258" t="s">
        <v>3540</v>
      </c>
      <c r="G266" s="182">
        <v>0</v>
      </c>
      <c r="H266" s="182">
        <v>7499.06</v>
      </c>
      <c r="I266" s="182">
        <f t="shared" si="43"/>
        <v>7499.06</v>
      </c>
      <c r="K266" s="139" t="str">
        <f t="shared" si="39"/>
        <v>321</v>
      </c>
      <c r="L266" s="139" t="str">
        <f t="shared" si="40"/>
        <v>32</v>
      </c>
      <c r="V266" s="139" t="s">
        <v>2375</v>
      </c>
      <c r="W266" s="139" t="s">
        <v>2376</v>
      </c>
    </row>
    <row r="267" spans="1:23">
      <c r="A267" s="149">
        <v>51</v>
      </c>
      <c r="B267" s="258" t="str">
        <f t="shared" si="41"/>
        <v>Pomoći EU</v>
      </c>
      <c r="C267" s="149" t="s">
        <v>3530</v>
      </c>
      <c r="D267" s="258" t="str">
        <f t="shared" si="42"/>
        <v/>
      </c>
      <c r="E267" s="183" t="s">
        <v>794</v>
      </c>
      <c r="F267" s="258" t="s">
        <v>3541</v>
      </c>
      <c r="G267" s="182">
        <v>0</v>
      </c>
      <c r="H267" s="182">
        <v>99005.17</v>
      </c>
      <c r="I267" s="182">
        <f t="shared" si="43"/>
        <v>99005.17</v>
      </c>
      <c r="K267" s="139" t="str">
        <f t="shared" si="39"/>
        <v>311</v>
      </c>
      <c r="L267" s="139" t="str">
        <f t="shared" si="40"/>
        <v>31</v>
      </c>
      <c r="V267" s="139" t="s">
        <v>2377</v>
      </c>
      <c r="W267" s="139" t="s">
        <v>2378</v>
      </c>
    </row>
    <row r="268" spans="1:23">
      <c r="A268" s="149">
        <v>51</v>
      </c>
      <c r="B268" s="258" t="str">
        <f t="shared" si="41"/>
        <v>Pomoći EU</v>
      </c>
      <c r="C268" s="149" t="s">
        <v>3520</v>
      </c>
      <c r="D268" s="258" t="str">
        <f t="shared" si="42"/>
        <v/>
      </c>
      <c r="E268" s="183" t="s">
        <v>794</v>
      </c>
      <c r="F268" s="258" t="s">
        <v>3541</v>
      </c>
      <c r="G268" s="182">
        <v>0</v>
      </c>
      <c r="H268" s="182">
        <v>16335.85</v>
      </c>
      <c r="I268" s="182">
        <f t="shared" si="43"/>
        <v>16335.85</v>
      </c>
      <c r="K268" s="139" t="str">
        <f t="shared" si="39"/>
        <v>313</v>
      </c>
      <c r="L268" s="139" t="str">
        <f t="shared" si="40"/>
        <v>31</v>
      </c>
      <c r="V268" s="139" t="s">
        <v>2379</v>
      </c>
      <c r="W268" s="139" t="s">
        <v>2380</v>
      </c>
    </row>
    <row r="269" spans="1:23">
      <c r="A269" s="149">
        <v>51</v>
      </c>
      <c r="B269" s="258" t="str">
        <f t="shared" si="41"/>
        <v>Pomoći EU</v>
      </c>
      <c r="C269" s="149" t="s">
        <v>3503</v>
      </c>
      <c r="D269" s="258" t="str">
        <f t="shared" si="42"/>
        <v/>
      </c>
      <c r="E269" s="183" t="s">
        <v>794</v>
      </c>
      <c r="F269" s="258" t="s">
        <v>3541</v>
      </c>
      <c r="G269" s="182">
        <v>0</v>
      </c>
      <c r="H269" s="182">
        <v>8045.5999999999995</v>
      </c>
      <c r="I269" s="182">
        <f t="shared" si="43"/>
        <v>8045.5999999999995</v>
      </c>
      <c r="K269" s="139" t="str">
        <f t="shared" si="39"/>
        <v>321</v>
      </c>
      <c r="L269" s="139" t="str">
        <f t="shared" si="40"/>
        <v>32</v>
      </c>
      <c r="V269" s="139" t="s">
        <v>2381</v>
      </c>
      <c r="W269" s="139" t="s">
        <v>2382</v>
      </c>
    </row>
    <row r="270" spans="1:23">
      <c r="A270" s="149">
        <v>51</v>
      </c>
      <c r="B270" s="258" t="str">
        <f t="shared" si="41"/>
        <v>Pomoći EU</v>
      </c>
      <c r="C270" s="149" t="s">
        <v>3508</v>
      </c>
      <c r="D270" s="258" t="str">
        <f t="shared" si="42"/>
        <v/>
      </c>
      <c r="E270" s="183" t="s">
        <v>794</v>
      </c>
      <c r="F270" s="258" t="s">
        <v>3541</v>
      </c>
      <c r="G270" s="182">
        <v>0</v>
      </c>
      <c r="H270" s="182">
        <v>3972</v>
      </c>
      <c r="I270" s="182">
        <f t="shared" si="43"/>
        <v>3972</v>
      </c>
      <c r="K270" s="139" t="str">
        <f t="shared" si="39"/>
        <v>324</v>
      </c>
      <c r="L270" s="139" t="str">
        <f t="shared" si="40"/>
        <v>32</v>
      </c>
      <c r="V270" s="139" t="s">
        <v>2383</v>
      </c>
      <c r="W270" s="139" t="s">
        <v>2384</v>
      </c>
    </row>
    <row r="271" spans="1:23">
      <c r="A271" s="149">
        <v>51</v>
      </c>
      <c r="B271" s="258" t="str">
        <f t="shared" si="41"/>
        <v>Pomoći EU</v>
      </c>
      <c r="C271" s="149" t="s">
        <v>3497</v>
      </c>
      <c r="D271" s="258" t="str">
        <f t="shared" si="42"/>
        <v/>
      </c>
      <c r="E271" s="183" t="s">
        <v>794</v>
      </c>
      <c r="F271" s="258" t="s">
        <v>3541</v>
      </c>
      <c r="G271" s="182">
        <v>0</v>
      </c>
      <c r="H271" s="182">
        <v>2.25</v>
      </c>
      <c r="I271" s="182">
        <f t="shared" si="43"/>
        <v>2.25</v>
      </c>
      <c r="K271" s="139" t="str">
        <f t="shared" si="39"/>
        <v>343</v>
      </c>
      <c r="L271" s="139" t="str">
        <f t="shared" si="40"/>
        <v>34</v>
      </c>
      <c r="V271" s="139" t="s">
        <v>2385</v>
      </c>
      <c r="W271" s="139" t="s">
        <v>2386</v>
      </c>
    </row>
    <row r="272" spans="1:23">
      <c r="A272" s="149">
        <v>52</v>
      </c>
      <c r="B272" s="258" t="str">
        <f t="shared" si="41"/>
        <v>Ostale pomoći</v>
      </c>
      <c r="C272" s="149">
        <v>4511</v>
      </c>
      <c r="D272" s="258" t="str">
        <f t="shared" si="42"/>
        <v>Dodatna ulaganja na građevinskim objektima</v>
      </c>
      <c r="E272" s="183" t="s">
        <v>794</v>
      </c>
      <c r="F272" s="258" t="s">
        <v>3543</v>
      </c>
      <c r="G272" s="182">
        <v>0</v>
      </c>
      <c r="H272" s="182">
        <v>16475972</v>
      </c>
      <c r="I272" s="182">
        <f t="shared" si="43"/>
        <v>16475972</v>
      </c>
      <c r="K272" s="139" t="str">
        <f t="shared" si="39"/>
        <v>451</v>
      </c>
      <c r="L272" s="139" t="str">
        <f t="shared" si="40"/>
        <v>45</v>
      </c>
      <c r="V272" s="139" t="s">
        <v>2387</v>
      </c>
      <c r="W272" s="139" t="s">
        <v>2388</v>
      </c>
    </row>
    <row r="273" spans="1:23">
      <c r="A273" s="149"/>
      <c r="B273" s="258" t="str">
        <f t="shared" si="41"/>
        <v/>
      </c>
      <c r="C273" s="149"/>
      <c r="D273" s="258" t="str">
        <f t="shared" si="42"/>
        <v/>
      </c>
      <c r="E273" s="183"/>
      <c r="F273" s="258" t="str">
        <f t="shared" ref="F273:F295" si="44">IFERROR(VLOOKUP(E273,$V$7:$W$1103,2,FALSE),"")</f>
        <v/>
      </c>
      <c r="G273" s="182"/>
      <c r="H273" s="182"/>
      <c r="I273" s="182"/>
      <c r="K273" s="139" t="str">
        <f t="shared" si="39"/>
        <v/>
      </c>
      <c r="L273" s="139" t="str">
        <f t="shared" si="40"/>
        <v/>
      </c>
      <c r="V273" s="139" t="s">
        <v>2389</v>
      </c>
      <c r="W273" s="139" t="s">
        <v>2390</v>
      </c>
    </row>
    <row r="274" spans="1:23">
      <c r="A274" s="149"/>
      <c r="B274" s="258" t="str">
        <f t="shared" si="41"/>
        <v/>
      </c>
      <c r="C274" s="149"/>
      <c r="D274" s="258" t="str">
        <f t="shared" si="42"/>
        <v/>
      </c>
      <c r="E274" s="183"/>
      <c r="F274" s="258" t="str">
        <f t="shared" si="44"/>
        <v/>
      </c>
      <c r="G274" s="182"/>
      <c r="H274" s="182"/>
      <c r="I274" s="182"/>
      <c r="K274" s="139" t="str">
        <f t="shared" si="39"/>
        <v/>
      </c>
      <c r="L274" s="139" t="str">
        <f t="shared" si="40"/>
        <v/>
      </c>
      <c r="V274" s="139" t="s">
        <v>2391</v>
      </c>
      <c r="W274" s="139" t="s">
        <v>2392</v>
      </c>
    </row>
    <row r="275" spans="1:23">
      <c r="A275" s="149"/>
      <c r="B275" s="258" t="str">
        <f t="shared" si="41"/>
        <v/>
      </c>
      <c r="C275" s="149"/>
      <c r="D275" s="258" t="str">
        <f t="shared" si="42"/>
        <v/>
      </c>
      <c r="E275" s="183"/>
      <c r="F275" s="258" t="str">
        <f t="shared" si="44"/>
        <v/>
      </c>
      <c r="G275" s="182"/>
      <c r="H275" s="182"/>
      <c r="I275" s="182"/>
      <c r="K275" s="139" t="str">
        <f t="shared" si="39"/>
        <v/>
      </c>
      <c r="L275" s="139" t="str">
        <f t="shared" si="40"/>
        <v/>
      </c>
      <c r="V275" s="139" t="s">
        <v>2393</v>
      </c>
      <c r="W275" s="139" t="s">
        <v>2394</v>
      </c>
    </row>
    <row r="276" spans="1:23">
      <c r="A276" s="149"/>
      <c r="B276" s="258" t="str">
        <f t="shared" si="41"/>
        <v/>
      </c>
      <c r="C276" s="149"/>
      <c r="D276" s="258" t="str">
        <f t="shared" si="42"/>
        <v/>
      </c>
      <c r="E276" s="183"/>
      <c r="F276" s="258" t="str">
        <f t="shared" si="44"/>
        <v/>
      </c>
      <c r="G276" s="182"/>
      <c r="H276" s="182"/>
      <c r="I276" s="182"/>
      <c r="K276" s="139" t="str">
        <f t="shared" si="39"/>
        <v/>
      </c>
      <c r="L276" s="139" t="str">
        <f t="shared" si="40"/>
        <v/>
      </c>
      <c r="V276" s="139" t="s">
        <v>2395</v>
      </c>
      <c r="W276" s="139" t="s">
        <v>2396</v>
      </c>
    </row>
    <row r="277" spans="1:23">
      <c r="A277" s="149"/>
      <c r="B277" s="258" t="str">
        <f t="shared" si="41"/>
        <v/>
      </c>
      <c r="C277" s="149"/>
      <c r="D277" s="258" t="str">
        <f t="shared" si="42"/>
        <v/>
      </c>
      <c r="E277" s="183"/>
      <c r="F277" s="258" t="str">
        <f t="shared" si="44"/>
        <v/>
      </c>
      <c r="G277" s="182"/>
      <c r="H277" s="182"/>
      <c r="I277" s="182"/>
      <c r="K277" s="139" t="str">
        <f t="shared" si="39"/>
        <v/>
      </c>
      <c r="L277" s="139" t="str">
        <f t="shared" si="40"/>
        <v/>
      </c>
      <c r="V277" s="139" t="s">
        <v>2397</v>
      </c>
      <c r="W277" s="139" t="s">
        <v>2398</v>
      </c>
    </row>
    <row r="278" spans="1:23">
      <c r="A278" s="149"/>
      <c r="B278" s="258" t="str">
        <f t="shared" si="41"/>
        <v/>
      </c>
      <c r="C278" s="149"/>
      <c r="D278" s="258" t="str">
        <f t="shared" si="42"/>
        <v/>
      </c>
      <c r="E278" s="183"/>
      <c r="F278" s="258" t="str">
        <f t="shared" si="44"/>
        <v/>
      </c>
      <c r="G278" s="182"/>
      <c r="H278" s="182"/>
      <c r="I278" s="182"/>
      <c r="K278" s="139" t="str">
        <f t="shared" si="39"/>
        <v/>
      </c>
      <c r="L278" s="139" t="str">
        <f t="shared" si="40"/>
        <v/>
      </c>
      <c r="V278" s="139" t="s">
        <v>2399</v>
      </c>
      <c r="W278" s="139" t="s">
        <v>2400</v>
      </c>
    </row>
    <row r="279" spans="1:23">
      <c r="A279" s="149"/>
      <c r="B279" s="258" t="str">
        <f t="shared" si="41"/>
        <v/>
      </c>
      <c r="C279" s="149"/>
      <c r="D279" s="258" t="str">
        <f t="shared" si="42"/>
        <v/>
      </c>
      <c r="E279" s="183"/>
      <c r="F279" s="258" t="str">
        <f t="shared" si="44"/>
        <v/>
      </c>
      <c r="G279" s="182"/>
      <c r="H279" s="182"/>
      <c r="I279" s="182"/>
      <c r="K279" s="139" t="str">
        <f t="shared" si="39"/>
        <v/>
      </c>
      <c r="L279" s="139" t="str">
        <f t="shared" si="40"/>
        <v/>
      </c>
      <c r="V279" s="139" t="s">
        <v>2401</v>
      </c>
      <c r="W279" s="139" t="s">
        <v>2402</v>
      </c>
    </row>
    <row r="280" spans="1:23">
      <c r="A280" s="149"/>
      <c r="B280" s="258" t="str">
        <f t="shared" si="41"/>
        <v/>
      </c>
      <c r="C280" s="149"/>
      <c r="D280" s="258" t="str">
        <f t="shared" si="42"/>
        <v/>
      </c>
      <c r="E280" s="183"/>
      <c r="F280" s="258" t="str">
        <f t="shared" si="44"/>
        <v/>
      </c>
      <c r="G280" s="182"/>
      <c r="H280" s="182"/>
      <c r="I280" s="182"/>
      <c r="K280" s="139" t="str">
        <f t="shared" si="39"/>
        <v/>
      </c>
      <c r="L280" s="139" t="str">
        <f t="shared" si="40"/>
        <v/>
      </c>
      <c r="V280" s="139" t="s">
        <v>2403</v>
      </c>
      <c r="W280" s="139" t="s">
        <v>2404</v>
      </c>
    </row>
    <row r="281" spans="1:23">
      <c r="A281" s="149"/>
      <c r="B281" s="258" t="str">
        <f t="shared" si="41"/>
        <v/>
      </c>
      <c r="C281" s="149"/>
      <c r="D281" s="258" t="str">
        <f t="shared" si="42"/>
        <v/>
      </c>
      <c r="E281" s="183"/>
      <c r="F281" s="258" t="str">
        <f t="shared" si="44"/>
        <v/>
      </c>
      <c r="G281" s="182"/>
      <c r="H281" s="182"/>
      <c r="I281" s="182"/>
      <c r="K281" s="139" t="str">
        <f t="shared" ref="K281:K344" si="45">LEFT(C281,3)</f>
        <v/>
      </c>
      <c r="L281" s="139" t="str">
        <f t="shared" ref="L281:L344" si="46">LEFT(C281,2)</f>
        <v/>
      </c>
      <c r="V281" s="139" t="s">
        <v>2405</v>
      </c>
      <c r="W281" s="139" t="s">
        <v>2406</v>
      </c>
    </row>
    <row r="282" spans="1:23">
      <c r="A282" s="149"/>
      <c r="B282" s="258" t="str">
        <f t="shared" si="41"/>
        <v/>
      </c>
      <c r="C282" s="149"/>
      <c r="D282" s="258" t="str">
        <f t="shared" si="42"/>
        <v/>
      </c>
      <c r="E282" s="183"/>
      <c r="F282" s="258" t="str">
        <f t="shared" si="44"/>
        <v/>
      </c>
      <c r="G282" s="182"/>
      <c r="H282" s="182"/>
      <c r="I282" s="182"/>
      <c r="K282" s="139" t="str">
        <f t="shared" si="45"/>
        <v/>
      </c>
      <c r="L282" s="139" t="str">
        <f t="shared" si="46"/>
        <v/>
      </c>
      <c r="V282" s="139" t="s">
        <v>2407</v>
      </c>
      <c r="W282" s="139" t="s">
        <v>2408</v>
      </c>
    </row>
    <row r="283" spans="1:23">
      <c r="A283" s="149"/>
      <c r="B283" s="258" t="str">
        <f t="shared" si="41"/>
        <v/>
      </c>
      <c r="C283" s="149"/>
      <c r="D283" s="258" t="str">
        <f t="shared" si="42"/>
        <v/>
      </c>
      <c r="E283" s="183"/>
      <c r="F283" s="258" t="str">
        <f t="shared" si="44"/>
        <v/>
      </c>
      <c r="G283" s="182"/>
      <c r="H283" s="182"/>
      <c r="I283" s="182"/>
      <c r="K283" s="139" t="str">
        <f t="shared" si="45"/>
        <v/>
      </c>
      <c r="L283" s="139" t="str">
        <f t="shared" si="46"/>
        <v/>
      </c>
      <c r="V283" s="139" t="s">
        <v>2409</v>
      </c>
      <c r="W283" s="139" t="s">
        <v>2410</v>
      </c>
    </row>
    <row r="284" spans="1:23">
      <c r="A284" s="149"/>
      <c r="B284" s="258" t="str">
        <f t="shared" si="41"/>
        <v/>
      </c>
      <c r="C284" s="149"/>
      <c r="D284" s="258" t="str">
        <f t="shared" si="42"/>
        <v/>
      </c>
      <c r="E284" s="183"/>
      <c r="F284" s="258" t="str">
        <f t="shared" si="44"/>
        <v/>
      </c>
      <c r="G284" s="182"/>
      <c r="H284" s="182"/>
      <c r="I284" s="182"/>
      <c r="K284" s="139" t="str">
        <f t="shared" si="45"/>
        <v/>
      </c>
      <c r="L284" s="139" t="str">
        <f t="shared" si="46"/>
        <v/>
      </c>
      <c r="V284" s="139" t="s">
        <v>2411</v>
      </c>
      <c r="W284" s="139" t="s">
        <v>2412</v>
      </c>
    </row>
    <row r="285" spans="1:23">
      <c r="A285" s="149"/>
      <c r="B285" s="258" t="str">
        <f t="shared" si="41"/>
        <v/>
      </c>
      <c r="C285" s="149"/>
      <c r="D285" s="258" t="str">
        <f t="shared" si="42"/>
        <v/>
      </c>
      <c r="E285" s="183"/>
      <c r="F285" s="258" t="str">
        <f t="shared" si="44"/>
        <v/>
      </c>
      <c r="G285" s="182"/>
      <c r="H285" s="182"/>
      <c r="I285" s="182"/>
      <c r="K285" s="139" t="str">
        <f t="shared" si="45"/>
        <v/>
      </c>
      <c r="L285" s="139" t="str">
        <f t="shared" si="46"/>
        <v/>
      </c>
      <c r="V285" s="139" t="s">
        <v>2413</v>
      </c>
      <c r="W285" s="139" t="s">
        <v>2414</v>
      </c>
    </row>
    <row r="286" spans="1:23">
      <c r="A286" s="149"/>
      <c r="B286" s="258" t="str">
        <f t="shared" si="41"/>
        <v/>
      </c>
      <c r="C286" s="149"/>
      <c r="D286" s="258" t="str">
        <f t="shared" si="42"/>
        <v/>
      </c>
      <c r="E286" s="183"/>
      <c r="F286" s="258" t="str">
        <f t="shared" si="44"/>
        <v/>
      </c>
      <c r="G286" s="182"/>
      <c r="H286" s="182"/>
      <c r="I286" s="182"/>
      <c r="K286" s="139" t="str">
        <f t="shared" si="45"/>
        <v/>
      </c>
      <c r="L286" s="139" t="str">
        <f t="shared" si="46"/>
        <v/>
      </c>
      <c r="V286" s="139" t="s">
        <v>2415</v>
      </c>
      <c r="W286" s="139" t="s">
        <v>2416</v>
      </c>
    </row>
    <row r="287" spans="1:23">
      <c r="A287" s="149"/>
      <c r="B287" s="258" t="str">
        <f t="shared" si="41"/>
        <v/>
      </c>
      <c r="C287" s="149"/>
      <c r="D287" s="258" t="str">
        <f t="shared" si="42"/>
        <v/>
      </c>
      <c r="E287" s="183"/>
      <c r="F287" s="258" t="str">
        <f t="shared" si="44"/>
        <v/>
      </c>
      <c r="G287" s="182"/>
      <c r="H287" s="182"/>
      <c r="I287" s="182"/>
      <c r="K287" s="139" t="str">
        <f t="shared" si="45"/>
        <v/>
      </c>
      <c r="L287" s="139" t="str">
        <f t="shared" si="46"/>
        <v/>
      </c>
      <c r="V287" s="139" t="s">
        <v>2417</v>
      </c>
      <c r="W287" s="139" t="s">
        <v>2418</v>
      </c>
    </row>
    <row r="288" spans="1:23">
      <c r="A288" s="149"/>
      <c r="B288" s="258" t="str">
        <f t="shared" si="41"/>
        <v/>
      </c>
      <c r="C288" s="149"/>
      <c r="D288" s="258" t="str">
        <f t="shared" si="42"/>
        <v/>
      </c>
      <c r="E288" s="183"/>
      <c r="F288" s="258" t="str">
        <f t="shared" si="44"/>
        <v/>
      </c>
      <c r="G288" s="182"/>
      <c r="H288" s="182"/>
      <c r="I288" s="182"/>
      <c r="K288" s="139" t="str">
        <f t="shared" si="45"/>
        <v/>
      </c>
      <c r="L288" s="139" t="str">
        <f t="shared" si="46"/>
        <v/>
      </c>
      <c r="V288" s="139" t="s">
        <v>2419</v>
      </c>
      <c r="W288" s="139" t="s">
        <v>2420</v>
      </c>
    </row>
    <row r="289" spans="1:23">
      <c r="A289" s="149"/>
      <c r="B289" s="258" t="str">
        <f t="shared" si="41"/>
        <v/>
      </c>
      <c r="C289" s="149"/>
      <c r="D289" s="258" t="str">
        <f t="shared" si="42"/>
        <v/>
      </c>
      <c r="E289" s="183"/>
      <c r="F289" s="258" t="str">
        <f t="shared" si="44"/>
        <v/>
      </c>
      <c r="G289" s="182"/>
      <c r="H289" s="182"/>
      <c r="I289" s="182"/>
      <c r="K289" s="139" t="str">
        <f t="shared" si="45"/>
        <v/>
      </c>
      <c r="L289" s="139" t="str">
        <f t="shared" si="46"/>
        <v/>
      </c>
      <c r="V289" s="139" t="s">
        <v>2421</v>
      </c>
      <c r="W289" s="139" t="s">
        <v>2422</v>
      </c>
    </row>
    <row r="290" spans="1:23">
      <c r="A290" s="149"/>
      <c r="B290" s="258" t="str">
        <f t="shared" si="41"/>
        <v/>
      </c>
      <c r="C290" s="149"/>
      <c r="D290" s="258" t="str">
        <f t="shared" si="42"/>
        <v/>
      </c>
      <c r="E290" s="183"/>
      <c r="F290" s="258" t="str">
        <f t="shared" si="44"/>
        <v/>
      </c>
      <c r="G290" s="182"/>
      <c r="H290" s="182"/>
      <c r="I290" s="182"/>
      <c r="K290" s="139" t="str">
        <f t="shared" si="45"/>
        <v/>
      </c>
      <c r="L290" s="139" t="str">
        <f t="shared" si="46"/>
        <v/>
      </c>
      <c r="V290" s="139" t="s">
        <v>2423</v>
      </c>
      <c r="W290" s="139" t="s">
        <v>2424</v>
      </c>
    </row>
    <row r="291" spans="1:23">
      <c r="A291" s="149"/>
      <c r="B291" s="258" t="str">
        <f t="shared" si="41"/>
        <v/>
      </c>
      <c r="C291" s="149"/>
      <c r="D291" s="258" t="str">
        <f t="shared" si="42"/>
        <v/>
      </c>
      <c r="E291" s="183"/>
      <c r="F291" s="258" t="str">
        <f t="shared" si="44"/>
        <v/>
      </c>
      <c r="G291" s="182"/>
      <c r="H291" s="182"/>
      <c r="I291" s="182"/>
      <c r="K291" s="139" t="str">
        <f t="shared" si="45"/>
        <v/>
      </c>
      <c r="L291" s="139" t="str">
        <f t="shared" si="46"/>
        <v/>
      </c>
      <c r="V291" s="139" t="s">
        <v>2425</v>
      </c>
      <c r="W291" s="139" t="s">
        <v>2426</v>
      </c>
    </row>
    <row r="292" spans="1:23">
      <c r="A292" s="149"/>
      <c r="B292" s="258" t="str">
        <f t="shared" si="41"/>
        <v/>
      </c>
      <c r="C292" s="149"/>
      <c r="D292" s="258" t="str">
        <f t="shared" si="42"/>
        <v/>
      </c>
      <c r="E292" s="183"/>
      <c r="F292" s="258" t="str">
        <f t="shared" si="44"/>
        <v/>
      </c>
      <c r="G292" s="182"/>
      <c r="H292" s="182"/>
      <c r="I292" s="182"/>
      <c r="K292" s="139" t="str">
        <f t="shared" si="45"/>
        <v/>
      </c>
      <c r="L292" s="139" t="str">
        <f t="shared" si="46"/>
        <v/>
      </c>
      <c r="V292" s="139" t="s">
        <v>2427</v>
      </c>
      <c r="W292" s="139" t="s">
        <v>2428</v>
      </c>
    </row>
    <row r="293" spans="1:23">
      <c r="A293" s="149"/>
      <c r="B293" s="258" t="str">
        <f t="shared" si="41"/>
        <v/>
      </c>
      <c r="C293" s="149"/>
      <c r="D293" s="258" t="str">
        <f t="shared" si="42"/>
        <v/>
      </c>
      <c r="E293" s="183"/>
      <c r="F293" s="258" t="str">
        <f t="shared" si="44"/>
        <v/>
      </c>
      <c r="G293" s="182"/>
      <c r="H293" s="182"/>
      <c r="I293" s="182"/>
      <c r="K293" s="139" t="str">
        <f t="shared" si="45"/>
        <v/>
      </c>
      <c r="L293" s="139" t="str">
        <f t="shared" si="46"/>
        <v/>
      </c>
      <c r="V293" s="139" t="s">
        <v>2429</v>
      </c>
      <c r="W293" s="139" t="s">
        <v>2430</v>
      </c>
    </row>
    <row r="294" spans="1:23">
      <c r="A294" s="149"/>
      <c r="B294" s="258" t="str">
        <f t="shared" si="41"/>
        <v/>
      </c>
      <c r="C294" s="149"/>
      <c r="D294" s="258" t="str">
        <f t="shared" si="42"/>
        <v/>
      </c>
      <c r="E294" s="183"/>
      <c r="F294" s="258" t="str">
        <f t="shared" si="44"/>
        <v/>
      </c>
      <c r="G294" s="182"/>
      <c r="H294" s="182"/>
      <c r="I294" s="182"/>
      <c r="K294" s="139" t="str">
        <f t="shared" si="45"/>
        <v/>
      </c>
      <c r="L294" s="139" t="str">
        <f t="shared" si="46"/>
        <v/>
      </c>
      <c r="V294" s="139" t="s">
        <v>2431</v>
      </c>
      <c r="W294" s="139" t="s">
        <v>2432</v>
      </c>
    </row>
    <row r="295" spans="1:23">
      <c r="A295" s="149"/>
      <c r="B295" s="258" t="str">
        <f t="shared" ref="B295:B358" si="47">IFERROR(VLOOKUP(A295,$M$7:$N$37,2,FALSE),"")</f>
        <v/>
      </c>
      <c r="C295" s="149"/>
      <c r="D295" s="258" t="str">
        <f t="shared" si="42"/>
        <v/>
      </c>
      <c r="E295" s="183"/>
      <c r="F295" s="258" t="str">
        <f t="shared" si="44"/>
        <v/>
      </c>
      <c r="G295" s="182"/>
      <c r="H295" s="182"/>
      <c r="I295" s="182"/>
      <c r="K295" s="139" t="str">
        <f t="shared" si="45"/>
        <v/>
      </c>
      <c r="L295" s="139" t="str">
        <f t="shared" si="46"/>
        <v/>
      </c>
      <c r="V295" s="139" t="s">
        <v>2433</v>
      </c>
      <c r="W295" s="139" t="s">
        <v>2434</v>
      </c>
    </row>
    <row r="296" spans="1:23">
      <c r="A296" s="149"/>
      <c r="B296" s="258" t="str">
        <f t="shared" si="47"/>
        <v/>
      </c>
      <c r="C296" s="149"/>
      <c r="D296" s="258" t="str">
        <f t="shared" ref="D296:D359" si="48">IFERROR(VLOOKUP(C296,$P$6:$R$214,2,FALSE),"")</f>
        <v/>
      </c>
      <c r="E296" s="183"/>
      <c r="F296" s="258" t="str">
        <f t="shared" ref="F296:F359" si="49">IFERROR(VLOOKUP(E296,$V$7:$W$1103,2,FALSE),"")</f>
        <v/>
      </c>
      <c r="G296" s="182"/>
      <c r="H296" s="182"/>
      <c r="I296" s="182"/>
      <c r="K296" s="139" t="str">
        <f t="shared" si="45"/>
        <v/>
      </c>
      <c r="L296" s="139" t="str">
        <f t="shared" si="46"/>
        <v/>
      </c>
      <c r="V296" s="139" t="s">
        <v>2435</v>
      </c>
      <c r="W296" s="139" t="s">
        <v>2436</v>
      </c>
    </row>
    <row r="297" spans="1:23">
      <c r="A297" s="149"/>
      <c r="B297" s="258" t="str">
        <f t="shared" si="47"/>
        <v/>
      </c>
      <c r="C297" s="149"/>
      <c r="D297" s="258" t="str">
        <f t="shared" si="48"/>
        <v/>
      </c>
      <c r="E297" s="183"/>
      <c r="F297" s="258" t="str">
        <f t="shared" si="49"/>
        <v/>
      </c>
      <c r="G297" s="182"/>
      <c r="H297" s="182"/>
      <c r="I297" s="182"/>
      <c r="K297" s="139" t="str">
        <f t="shared" si="45"/>
        <v/>
      </c>
      <c r="L297" s="139" t="str">
        <f t="shared" si="46"/>
        <v/>
      </c>
      <c r="V297" s="139" t="s">
        <v>2437</v>
      </c>
      <c r="W297" s="139" t="s">
        <v>2438</v>
      </c>
    </row>
    <row r="298" spans="1:23">
      <c r="A298" s="149"/>
      <c r="B298" s="258" t="str">
        <f t="shared" si="47"/>
        <v/>
      </c>
      <c r="C298" s="149"/>
      <c r="D298" s="258" t="str">
        <f t="shared" si="48"/>
        <v/>
      </c>
      <c r="E298" s="183"/>
      <c r="F298" s="258" t="str">
        <f t="shared" si="49"/>
        <v/>
      </c>
      <c r="G298" s="182"/>
      <c r="H298" s="182"/>
      <c r="I298" s="182"/>
      <c r="K298" s="139" t="str">
        <f t="shared" si="45"/>
        <v/>
      </c>
      <c r="L298" s="139" t="str">
        <f t="shared" si="46"/>
        <v/>
      </c>
      <c r="V298" s="139" t="s">
        <v>2439</v>
      </c>
      <c r="W298" s="139" t="s">
        <v>2440</v>
      </c>
    </row>
    <row r="299" spans="1:23">
      <c r="A299" s="149"/>
      <c r="B299" s="258" t="str">
        <f t="shared" si="47"/>
        <v/>
      </c>
      <c r="C299" s="149"/>
      <c r="D299" s="258" t="str">
        <f t="shared" si="48"/>
        <v/>
      </c>
      <c r="E299" s="183"/>
      <c r="F299" s="258" t="str">
        <f t="shared" si="49"/>
        <v/>
      </c>
      <c r="G299" s="182"/>
      <c r="H299" s="182"/>
      <c r="I299" s="182"/>
      <c r="K299" s="139" t="str">
        <f t="shared" si="45"/>
        <v/>
      </c>
      <c r="L299" s="139" t="str">
        <f t="shared" si="46"/>
        <v/>
      </c>
      <c r="V299" s="139" t="s">
        <v>2441</v>
      </c>
      <c r="W299" s="139" t="s">
        <v>2442</v>
      </c>
    </row>
    <row r="300" spans="1:23">
      <c r="A300" s="149"/>
      <c r="B300" s="258" t="str">
        <f t="shared" si="47"/>
        <v/>
      </c>
      <c r="C300" s="149"/>
      <c r="D300" s="258" t="str">
        <f t="shared" si="48"/>
        <v/>
      </c>
      <c r="E300" s="183"/>
      <c r="F300" s="258" t="str">
        <f t="shared" si="49"/>
        <v/>
      </c>
      <c r="G300" s="182"/>
      <c r="H300" s="182"/>
      <c r="I300" s="182"/>
      <c r="K300" s="139" t="str">
        <f t="shared" si="45"/>
        <v/>
      </c>
      <c r="L300" s="139" t="str">
        <f t="shared" si="46"/>
        <v/>
      </c>
      <c r="V300" s="139" t="s">
        <v>2443</v>
      </c>
      <c r="W300" s="139" t="s">
        <v>2444</v>
      </c>
    </row>
    <row r="301" spans="1:23">
      <c r="A301" s="149"/>
      <c r="B301" s="258" t="str">
        <f t="shared" si="47"/>
        <v/>
      </c>
      <c r="C301" s="149"/>
      <c r="D301" s="258" t="str">
        <f t="shared" si="48"/>
        <v/>
      </c>
      <c r="E301" s="183"/>
      <c r="F301" s="258" t="str">
        <f t="shared" si="49"/>
        <v/>
      </c>
      <c r="G301" s="182"/>
      <c r="H301" s="182"/>
      <c r="I301" s="182"/>
      <c r="K301" s="139" t="str">
        <f t="shared" si="45"/>
        <v/>
      </c>
      <c r="L301" s="139" t="str">
        <f t="shared" si="46"/>
        <v/>
      </c>
      <c r="V301" s="139" t="s">
        <v>2445</v>
      </c>
      <c r="W301" s="139" t="s">
        <v>2446</v>
      </c>
    </row>
    <row r="302" spans="1:23">
      <c r="A302" s="149"/>
      <c r="B302" s="258" t="str">
        <f t="shared" si="47"/>
        <v/>
      </c>
      <c r="C302" s="149"/>
      <c r="D302" s="258" t="str">
        <f t="shared" si="48"/>
        <v/>
      </c>
      <c r="E302" s="183"/>
      <c r="F302" s="258" t="str">
        <f t="shared" si="49"/>
        <v/>
      </c>
      <c r="G302" s="182"/>
      <c r="H302" s="182"/>
      <c r="I302" s="182"/>
      <c r="K302" s="139" t="str">
        <f t="shared" si="45"/>
        <v/>
      </c>
      <c r="L302" s="139" t="str">
        <f t="shared" si="46"/>
        <v/>
      </c>
      <c r="V302" s="139" t="s">
        <v>2447</v>
      </c>
      <c r="W302" s="139" t="s">
        <v>2448</v>
      </c>
    </row>
    <row r="303" spans="1:23">
      <c r="A303" s="149"/>
      <c r="B303" s="258" t="str">
        <f t="shared" si="47"/>
        <v/>
      </c>
      <c r="C303" s="149"/>
      <c r="D303" s="258" t="str">
        <f t="shared" si="48"/>
        <v/>
      </c>
      <c r="E303" s="183"/>
      <c r="F303" s="258" t="str">
        <f t="shared" si="49"/>
        <v/>
      </c>
      <c r="G303" s="182"/>
      <c r="H303" s="182"/>
      <c r="I303" s="182"/>
      <c r="K303" s="139" t="str">
        <f t="shared" si="45"/>
        <v/>
      </c>
      <c r="L303" s="139" t="str">
        <f t="shared" si="46"/>
        <v/>
      </c>
      <c r="V303" s="139" t="s">
        <v>2449</v>
      </c>
      <c r="W303" s="139" t="s">
        <v>2450</v>
      </c>
    </row>
    <row r="304" spans="1:23">
      <c r="A304" s="149"/>
      <c r="B304" s="258" t="str">
        <f t="shared" si="47"/>
        <v/>
      </c>
      <c r="C304" s="149"/>
      <c r="D304" s="258" t="str">
        <f t="shared" si="48"/>
        <v/>
      </c>
      <c r="E304" s="183"/>
      <c r="F304" s="258" t="str">
        <f t="shared" si="49"/>
        <v/>
      </c>
      <c r="G304" s="182"/>
      <c r="H304" s="182"/>
      <c r="I304" s="182"/>
      <c r="K304" s="139" t="str">
        <f t="shared" si="45"/>
        <v/>
      </c>
      <c r="L304" s="139" t="str">
        <f t="shared" si="46"/>
        <v/>
      </c>
      <c r="V304" s="139" t="s">
        <v>2451</v>
      </c>
      <c r="W304" s="139" t="s">
        <v>2452</v>
      </c>
    </row>
    <row r="305" spans="1:23">
      <c r="A305" s="149"/>
      <c r="B305" s="258" t="str">
        <f t="shared" si="47"/>
        <v/>
      </c>
      <c r="C305" s="149"/>
      <c r="D305" s="258" t="str">
        <f t="shared" si="48"/>
        <v/>
      </c>
      <c r="E305" s="183"/>
      <c r="F305" s="258" t="str">
        <f t="shared" si="49"/>
        <v/>
      </c>
      <c r="G305" s="182"/>
      <c r="H305" s="182"/>
      <c r="I305" s="182"/>
      <c r="K305" s="139" t="str">
        <f t="shared" si="45"/>
        <v/>
      </c>
      <c r="L305" s="139" t="str">
        <f t="shared" si="46"/>
        <v/>
      </c>
      <c r="V305" s="139" t="s">
        <v>2453</v>
      </c>
      <c r="W305" s="139" t="s">
        <v>2454</v>
      </c>
    </row>
    <row r="306" spans="1:23">
      <c r="A306" s="149"/>
      <c r="B306" s="258" t="str">
        <f t="shared" si="47"/>
        <v/>
      </c>
      <c r="C306" s="149"/>
      <c r="D306" s="258" t="str">
        <f t="shared" si="48"/>
        <v/>
      </c>
      <c r="E306" s="183"/>
      <c r="F306" s="258" t="str">
        <f t="shared" si="49"/>
        <v/>
      </c>
      <c r="G306" s="182"/>
      <c r="H306" s="182"/>
      <c r="I306" s="182"/>
      <c r="K306" s="139" t="str">
        <f t="shared" si="45"/>
        <v/>
      </c>
      <c r="L306" s="139" t="str">
        <f t="shared" si="46"/>
        <v/>
      </c>
      <c r="V306" s="139" t="s">
        <v>2455</v>
      </c>
      <c r="W306" s="139" t="s">
        <v>2456</v>
      </c>
    </row>
    <row r="307" spans="1:23">
      <c r="A307" s="149"/>
      <c r="B307" s="258" t="str">
        <f t="shared" si="47"/>
        <v/>
      </c>
      <c r="C307" s="149"/>
      <c r="D307" s="258" t="str">
        <f t="shared" si="48"/>
        <v/>
      </c>
      <c r="E307" s="183"/>
      <c r="F307" s="258" t="str">
        <f t="shared" si="49"/>
        <v/>
      </c>
      <c r="G307" s="182"/>
      <c r="H307" s="182"/>
      <c r="I307" s="182"/>
      <c r="K307" s="139" t="str">
        <f t="shared" si="45"/>
        <v/>
      </c>
      <c r="L307" s="139" t="str">
        <f t="shared" si="46"/>
        <v/>
      </c>
      <c r="V307" s="139" t="s">
        <v>835</v>
      </c>
      <c r="W307" s="139" t="s">
        <v>836</v>
      </c>
    </row>
    <row r="308" spans="1:23">
      <c r="A308" s="149"/>
      <c r="B308" s="258" t="str">
        <f t="shared" si="47"/>
        <v/>
      </c>
      <c r="C308" s="149"/>
      <c r="D308" s="258" t="str">
        <f t="shared" si="48"/>
        <v/>
      </c>
      <c r="E308" s="183"/>
      <c r="F308" s="258" t="str">
        <f t="shared" si="49"/>
        <v/>
      </c>
      <c r="G308" s="182"/>
      <c r="H308" s="182"/>
      <c r="I308" s="182"/>
      <c r="K308" s="139" t="str">
        <f t="shared" si="45"/>
        <v/>
      </c>
      <c r="L308" s="139" t="str">
        <f t="shared" si="46"/>
        <v/>
      </c>
      <c r="V308" s="139" t="s">
        <v>837</v>
      </c>
      <c r="W308" s="139" t="s">
        <v>838</v>
      </c>
    </row>
    <row r="309" spans="1:23">
      <c r="A309" s="149"/>
      <c r="B309" s="258" t="str">
        <f t="shared" si="47"/>
        <v/>
      </c>
      <c r="C309" s="149"/>
      <c r="D309" s="258" t="str">
        <f t="shared" si="48"/>
        <v/>
      </c>
      <c r="E309" s="183"/>
      <c r="F309" s="258" t="str">
        <f t="shared" si="49"/>
        <v/>
      </c>
      <c r="G309" s="182"/>
      <c r="H309" s="182"/>
      <c r="I309" s="182"/>
      <c r="K309" s="139" t="str">
        <f t="shared" si="45"/>
        <v/>
      </c>
      <c r="L309" s="139" t="str">
        <f t="shared" si="46"/>
        <v/>
      </c>
      <c r="V309" s="139" t="s">
        <v>839</v>
      </c>
      <c r="W309" s="139" t="s">
        <v>840</v>
      </c>
    </row>
    <row r="310" spans="1:23">
      <c r="A310" s="149"/>
      <c r="B310" s="258" t="str">
        <f t="shared" si="47"/>
        <v/>
      </c>
      <c r="C310" s="149"/>
      <c r="D310" s="258" t="str">
        <f t="shared" si="48"/>
        <v/>
      </c>
      <c r="E310" s="183"/>
      <c r="F310" s="258" t="str">
        <f t="shared" si="49"/>
        <v/>
      </c>
      <c r="G310" s="182"/>
      <c r="H310" s="182"/>
      <c r="I310" s="182"/>
      <c r="K310" s="139" t="str">
        <f t="shared" si="45"/>
        <v/>
      </c>
      <c r="L310" s="139" t="str">
        <f t="shared" si="46"/>
        <v/>
      </c>
      <c r="V310" s="139" t="s">
        <v>841</v>
      </c>
      <c r="W310" s="139" t="s">
        <v>842</v>
      </c>
    </row>
    <row r="311" spans="1:23">
      <c r="A311" s="149"/>
      <c r="B311" s="258" t="str">
        <f t="shared" si="47"/>
        <v/>
      </c>
      <c r="C311" s="149"/>
      <c r="D311" s="258" t="str">
        <f t="shared" si="48"/>
        <v/>
      </c>
      <c r="E311" s="183"/>
      <c r="F311" s="258" t="str">
        <f t="shared" si="49"/>
        <v/>
      </c>
      <c r="G311" s="182"/>
      <c r="H311" s="182"/>
      <c r="I311" s="182"/>
      <c r="K311" s="139" t="str">
        <f t="shared" si="45"/>
        <v/>
      </c>
      <c r="L311" s="139" t="str">
        <f t="shared" si="46"/>
        <v/>
      </c>
      <c r="V311" s="139" t="s">
        <v>843</v>
      </c>
      <c r="W311" s="139" t="s">
        <v>844</v>
      </c>
    </row>
    <row r="312" spans="1:23">
      <c r="A312" s="149"/>
      <c r="B312" s="258" t="str">
        <f t="shared" si="47"/>
        <v/>
      </c>
      <c r="C312" s="149"/>
      <c r="D312" s="258" t="str">
        <f t="shared" si="48"/>
        <v/>
      </c>
      <c r="E312" s="183"/>
      <c r="F312" s="258" t="str">
        <f t="shared" si="49"/>
        <v/>
      </c>
      <c r="G312" s="182"/>
      <c r="H312" s="182"/>
      <c r="I312" s="182"/>
      <c r="K312" s="139" t="str">
        <f t="shared" si="45"/>
        <v/>
      </c>
      <c r="L312" s="139" t="str">
        <f t="shared" si="46"/>
        <v/>
      </c>
      <c r="V312" s="139" t="s">
        <v>845</v>
      </c>
      <c r="W312" s="139" t="s">
        <v>846</v>
      </c>
    </row>
    <row r="313" spans="1:23">
      <c r="A313" s="149"/>
      <c r="B313" s="258" t="str">
        <f t="shared" si="47"/>
        <v/>
      </c>
      <c r="C313" s="149"/>
      <c r="D313" s="258" t="str">
        <f t="shared" si="48"/>
        <v/>
      </c>
      <c r="E313" s="183"/>
      <c r="F313" s="258" t="str">
        <f t="shared" si="49"/>
        <v/>
      </c>
      <c r="G313" s="182"/>
      <c r="H313" s="182"/>
      <c r="I313" s="182"/>
      <c r="K313" s="139" t="str">
        <f t="shared" si="45"/>
        <v/>
      </c>
      <c r="L313" s="139" t="str">
        <f t="shared" si="46"/>
        <v/>
      </c>
      <c r="V313" s="139" t="s">
        <v>847</v>
      </c>
      <c r="W313" s="139" t="s">
        <v>848</v>
      </c>
    </row>
    <row r="314" spans="1:23">
      <c r="A314" s="149"/>
      <c r="B314" s="258" t="str">
        <f t="shared" si="47"/>
        <v/>
      </c>
      <c r="C314" s="149"/>
      <c r="D314" s="258" t="str">
        <f t="shared" si="48"/>
        <v/>
      </c>
      <c r="E314" s="183"/>
      <c r="F314" s="258" t="str">
        <f t="shared" si="49"/>
        <v/>
      </c>
      <c r="G314" s="182"/>
      <c r="H314" s="182"/>
      <c r="I314" s="182"/>
      <c r="K314" s="139" t="str">
        <f t="shared" si="45"/>
        <v/>
      </c>
      <c r="L314" s="139" t="str">
        <f t="shared" si="46"/>
        <v/>
      </c>
      <c r="V314" s="139" t="s">
        <v>1498</v>
      </c>
      <c r="W314" s="139" t="s">
        <v>1499</v>
      </c>
    </row>
    <row r="315" spans="1:23">
      <c r="A315" s="149"/>
      <c r="B315" s="258" t="str">
        <f t="shared" si="47"/>
        <v/>
      </c>
      <c r="C315" s="149"/>
      <c r="D315" s="258" t="str">
        <f t="shared" si="48"/>
        <v/>
      </c>
      <c r="E315" s="183"/>
      <c r="F315" s="258" t="str">
        <f t="shared" si="49"/>
        <v/>
      </c>
      <c r="G315" s="182"/>
      <c r="H315" s="182"/>
      <c r="I315" s="182"/>
      <c r="K315" s="139" t="str">
        <f t="shared" si="45"/>
        <v/>
      </c>
      <c r="L315" s="139" t="str">
        <f t="shared" si="46"/>
        <v/>
      </c>
      <c r="V315" s="139" t="s">
        <v>1500</v>
      </c>
      <c r="W315" s="139" t="s">
        <v>1501</v>
      </c>
    </row>
    <row r="316" spans="1:23">
      <c r="A316" s="149"/>
      <c r="B316" s="258" t="str">
        <f t="shared" si="47"/>
        <v/>
      </c>
      <c r="C316" s="149"/>
      <c r="D316" s="258" t="str">
        <f t="shared" si="48"/>
        <v/>
      </c>
      <c r="E316" s="183"/>
      <c r="F316" s="258" t="str">
        <f t="shared" si="49"/>
        <v/>
      </c>
      <c r="G316" s="182"/>
      <c r="H316" s="182"/>
      <c r="I316" s="182"/>
      <c r="K316" s="139" t="str">
        <f t="shared" si="45"/>
        <v/>
      </c>
      <c r="L316" s="139" t="str">
        <f t="shared" si="46"/>
        <v/>
      </c>
      <c r="V316" s="139" t="s">
        <v>1502</v>
      </c>
      <c r="W316" s="139" t="s">
        <v>1503</v>
      </c>
    </row>
    <row r="317" spans="1:23">
      <c r="A317" s="149"/>
      <c r="B317" s="258" t="str">
        <f t="shared" si="47"/>
        <v/>
      </c>
      <c r="C317" s="149"/>
      <c r="D317" s="258" t="str">
        <f t="shared" si="48"/>
        <v/>
      </c>
      <c r="E317" s="183"/>
      <c r="F317" s="258" t="str">
        <f t="shared" si="49"/>
        <v/>
      </c>
      <c r="G317" s="182"/>
      <c r="H317" s="182"/>
      <c r="I317" s="182"/>
      <c r="K317" s="139" t="str">
        <f t="shared" si="45"/>
        <v/>
      </c>
      <c r="L317" s="139" t="str">
        <f t="shared" si="46"/>
        <v/>
      </c>
      <c r="V317" s="139" t="s">
        <v>1504</v>
      </c>
      <c r="W317" s="139" t="s">
        <v>1505</v>
      </c>
    </row>
    <row r="318" spans="1:23">
      <c r="A318" s="149"/>
      <c r="B318" s="258" t="str">
        <f t="shared" si="47"/>
        <v/>
      </c>
      <c r="C318" s="149"/>
      <c r="D318" s="258" t="str">
        <f t="shared" si="48"/>
        <v/>
      </c>
      <c r="E318" s="183"/>
      <c r="F318" s="258" t="str">
        <f t="shared" si="49"/>
        <v/>
      </c>
      <c r="G318" s="182"/>
      <c r="H318" s="182"/>
      <c r="I318" s="182"/>
      <c r="K318" s="139" t="str">
        <f t="shared" si="45"/>
        <v/>
      </c>
      <c r="L318" s="139" t="str">
        <f t="shared" si="46"/>
        <v/>
      </c>
      <c r="V318" s="139" t="s">
        <v>1506</v>
      </c>
      <c r="W318" s="139" t="s">
        <v>1507</v>
      </c>
    </row>
    <row r="319" spans="1:23">
      <c r="A319" s="149"/>
      <c r="B319" s="258" t="str">
        <f t="shared" si="47"/>
        <v/>
      </c>
      <c r="C319" s="149"/>
      <c r="D319" s="258" t="str">
        <f t="shared" si="48"/>
        <v/>
      </c>
      <c r="E319" s="183"/>
      <c r="F319" s="258" t="str">
        <f t="shared" si="49"/>
        <v/>
      </c>
      <c r="G319" s="182"/>
      <c r="H319" s="182"/>
      <c r="I319" s="182"/>
      <c r="K319" s="139" t="str">
        <f t="shared" si="45"/>
        <v/>
      </c>
      <c r="L319" s="139" t="str">
        <f t="shared" si="46"/>
        <v/>
      </c>
      <c r="V319" s="139" t="s">
        <v>2457</v>
      </c>
      <c r="W319" s="139" t="s">
        <v>2458</v>
      </c>
    </row>
    <row r="320" spans="1:23">
      <c r="A320" s="149"/>
      <c r="B320" s="258" t="str">
        <f t="shared" si="47"/>
        <v/>
      </c>
      <c r="C320" s="149"/>
      <c r="D320" s="258" t="str">
        <f t="shared" si="48"/>
        <v/>
      </c>
      <c r="E320" s="183"/>
      <c r="F320" s="258" t="str">
        <f t="shared" si="49"/>
        <v/>
      </c>
      <c r="G320" s="182"/>
      <c r="H320" s="182"/>
      <c r="I320" s="182"/>
      <c r="K320" s="139" t="str">
        <f t="shared" si="45"/>
        <v/>
      </c>
      <c r="L320" s="139" t="str">
        <f t="shared" si="46"/>
        <v/>
      </c>
      <c r="V320" s="139" t="s">
        <v>2459</v>
      </c>
      <c r="W320" s="139" t="s">
        <v>2460</v>
      </c>
    </row>
    <row r="321" spans="1:23">
      <c r="A321" s="149"/>
      <c r="B321" s="258" t="str">
        <f t="shared" si="47"/>
        <v/>
      </c>
      <c r="C321" s="149"/>
      <c r="D321" s="258" t="str">
        <f t="shared" si="48"/>
        <v/>
      </c>
      <c r="E321" s="183"/>
      <c r="F321" s="258" t="str">
        <f t="shared" si="49"/>
        <v/>
      </c>
      <c r="G321" s="182"/>
      <c r="H321" s="182"/>
      <c r="I321" s="182"/>
      <c r="K321" s="139" t="str">
        <f t="shared" si="45"/>
        <v/>
      </c>
      <c r="L321" s="139" t="str">
        <f t="shared" si="46"/>
        <v/>
      </c>
      <c r="V321" s="139" t="s">
        <v>2461</v>
      </c>
      <c r="W321" s="139" t="s">
        <v>2462</v>
      </c>
    </row>
    <row r="322" spans="1:23">
      <c r="A322" s="149"/>
      <c r="B322" s="258" t="str">
        <f t="shared" si="47"/>
        <v/>
      </c>
      <c r="C322" s="149"/>
      <c r="D322" s="258" t="str">
        <f t="shared" si="48"/>
        <v/>
      </c>
      <c r="E322" s="183"/>
      <c r="F322" s="258" t="str">
        <f t="shared" si="49"/>
        <v/>
      </c>
      <c r="G322" s="182"/>
      <c r="H322" s="182"/>
      <c r="I322" s="182"/>
      <c r="K322" s="139" t="str">
        <f t="shared" si="45"/>
        <v/>
      </c>
      <c r="L322" s="139" t="str">
        <f t="shared" si="46"/>
        <v/>
      </c>
      <c r="V322" s="139" t="s">
        <v>2463</v>
      </c>
      <c r="W322" s="139" t="s">
        <v>2464</v>
      </c>
    </row>
    <row r="323" spans="1:23">
      <c r="A323" s="149"/>
      <c r="B323" s="258" t="str">
        <f t="shared" si="47"/>
        <v/>
      </c>
      <c r="C323" s="149"/>
      <c r="D323" s="258" t="str">
        <f t="shared" si="48"/>
        <v/>
      </c>
      <c r="E323" s="183"/>
      <c r="F323" s="258" t="str">
        <f t="shared" si="49"/>
        <v/>
      </c>
      <c r="G323" s="182"/>
      <c r="H323" s="182"/>
      <c r="I323" s="182"/>
      <c r="K323" s="139" t="str">
        <f t="shared" si="45"/>
        <v/>
      </c>
      <c r="L323" s="139" t="str">
        <f t="shared" si="46"/>
        <v/>
      </c>
      <c r="V323" s="139" t="s">
        <v>2465</v>
      </c>
      <c r="W323" s="139" t="s">
        <v>2466</v>
      </c>
    </row>
    <row r="324" spans="1:23">
      <c r="A324" s="149"/>
      <c r="B324" s="258" t="str">
        <f t="shared" si="47"/>
        <v/>
      </c>
      <c r="C324" s="149"/>
      <c r="D324" s="258" t="str">
        <f t="shared" si="48"/>
        <v/>
      </c>
      <c r="E324" s="183"/>
      <c r="F324" s="258" t="str">
        <f t="shared" si="49"/>
        <v/>
      </c>
      <c r="G324" s="182"/>
      <c r="H324" s="182"/>
      <c r="I324" s="182"/>
      <c r="K324" s="139" t="str">
        <f t="shared" si="45"/>
        <v/>
      </c>
      <c r="L324" s="139" t="str">
        <f t="shared" si="46"/>
        <v/>
      </c>
      <c r="V324" s="139" t="s">
        <v>2467</v>
      </c>
      <c r="W324" s="139" t="s">
        <v>2468</v>
      </c>
    </row>
    <row r="325" spans="1:23">
      <c r="A325" s="149"/>
      <c r="B325" s="258" t="str">
        <f t="shared" si="47"/>
        <v/>
      </c>
      <c r="C325" s="149"/>
      <c r="D325" s="258" t="str">
        <f t="shared" si="48"/>
        <v/>
      </c>
      <c r="E325" s="183"/>
      <c r="F325" s="258" t="str">
        <f t="shared" si="49"/>
        <v/>
      </c>
      <c r="G325" s="182"/>
      <c r="H325" s="182"/>
      <c r="I325" s="182"/>
      <c r="K325" s="139" t="str">
        <f t="shared" si="45"/>
        <v/>
      </c>
      <c r="L325" s="139" t="str">
        <f t="shared" si="46"/>
        <v/>
      </c>
      <c r="V325" s="139" t="s">
        <v>2469</v>
      </c>
      <c r="W325" s="139" t="s">
        <v>2470</v>
      </c>
    </row>
    <row r="326" spans="1:23">
      <c r="A326" s="149"/>
      <c r="B326" s="258" t="str">
        <f t="shared" si="47"/>
        <v/>
      </c>
      <c r="C326" s="149"/>
      <c r="D326" s="258" t="str">
        <f t="shared" si="48"/>
        <v/>
      </c>
      <c r="E326" s="183"/>
      <c r="F326" s="258" t="str">
        <f t="shared" si="49"/>
        <v/>
      </c>
      <c r="G326" s="182"/>
      <c r="H326" s="182"/>
      <c r="I326" s="182"/>
      <c r="K326" s="139" t="str">
        <f t="shared" si="45"/>
        <v/>
      </c>
      <c r="L326" s="139" t="str">
        <f t="shared" si="46"/>
        <v/>
      </c>
      <c r="V326" s="139" t="s">
        <v>2471</v>
      </c>
      <c r="W326" s="139" t="s">
        <v>2472</v>
      </c>
    </row>
    <row r="327" spans="1:23">
      <c r="A327" s="149"/>
      <c r="B327" s="258" t="str">
        <f t="shared" si="47"/>
        <v/>
      </c>
      <c r="C327" s="149"/>
      <c r="D327" s="258" t="str">
        <f t="shared" si="48"/>
        <v/>
      </c>
      <c r="E327" s="183"/>
      <c r="F327" s="258" t="str">
        <f t="shared" si="49"/>
        <v/>
      </c>
      <c r="G327" s="182"/>
      <c r="H327" s="182"/>
      <c r="I327" s="182"/>
      <c r="K327" s="139" t="str">
        <f t="shared" si="45"/>
        <v/>
      </c>
      <c r="L327" s="139" t="str">
        <f t="shared" si="46"/>
        <v/>
      </c>
      <c r="V327" s="139" t="s">
        <v>849</v>
      </c>
      <c r="W327" s="139" t="s">
        <v>850</v>
      </c>
    </row>
    <row r="328" spans="1:23">
      <c r="A328" s="149"/>
      <c r="B328" s="258" t="str">
        <f t="shared" si="47"/>
        <v/>
      </c>
      <c r="C328" s="149"/>
      <c r="D328" s="258" t="str">
        <f t="shared" si="48"/>
        <v/>
      </c>
      <c r="E328" s="183"/>
      <c r="F328" s="258" t="str">
        <f t="shared" si="49"/>
        <v/>
      </c>
      <c r="G328" s="182"/>
      <c r="H328" s="182"/>
      <c r="I328" s="182"/>
      <c r="K328" s="139" t="str">
        <f t="shared" si="45"/>
        <v/>
      </c>
      <c r="L328" s="139" t="str">
        <f t="shared" si="46"/>
        <v/>
      </c>
      <c r="V328" s="139" t="s">
        <v>851</v>
      </c>
      <c r="W328" s="139" t="s">
        <v>852</v>
      </c>
    </row>
    <row r="329" spans="1:23">
      <c r="A329" s="149"/>
      <c r="B329" s="258" t="str">
        <f t="shared" si="47"/>
        <v/>
      </c>
      <c r="C329" s="149"/>
      <c r="D329" s="258" t="str">
        <f t="shared" si="48"/>
        <v/>
      </c>
      <c r="E329" s="183"/>
      <c r="F329" s="258" t="str">
        <f t="shared" si="49"/>
        <v/>
      </c>
      <c r="G329" s="182"/>
      <c r="H329" s="182"/>
      <c r="I329" s="182"/>
      <c r="K329" s="139" t="str">
        <f t="shared" si="45"/>
        <v/>
      </c>
      <c r="L329" s="139" t="str">
        <f t="shared" si="46"/>
        <v/>
      </c>
      <c r="V329" s="139" t="s">
        <v>1508</v>
      </c>
      <c r="W329" s="139" t="s">
        <v>1509</v>
      </c>
    </row>
    <row r="330" spans="1:23">
      <c r="A330" s="149"/>
      <c r="B330" s="258" t="str">
        <f t="shared" si="47"/>
        <v/>
      </c>
      <c r="C330" s="149"/>
      <c r="D330" s="258" t="str">
        <f t="shared" si="48"/>
        <v/>
      </c>
      <c r="E330" s="183"/>
      <c r="F330" s="258" t="str">
        <f t="shared" si="49"/>
        <v/>
      </c>
      <c r="G330" s="182"/>
      <c r="H330" s="182"/>
      <c r="I330" s="182"/>
      <c r="K330" s="139" t="str">
        <f t="shared" si="45"/>
        <v/>
      </c>
      <c r="L330" s="139" t="str">
        <f t="shared" si="46"/>
        <v/>
      </c>
      <c r="V330" s="139" t="s">
        <v>1510</v>
      </c>
      <c r="W330" s="139" t="s">
        <v>1511</v>
      </c>
    </row>
    <row r="331" spans="1:23">
      <c r="A331" s="149"/>
      <c r="B331" s="258" t="str">
        <f t="shared" si="47"/>
        <v/>
      </c>
      <c r="C331" s="149"/>
      <c r="D331" s="258" t="str">
        <f t="shared" si="48"/>
        <v/>
      </c>
      <c r="E331" s="183"/>
      <c r="F331" s="258" t="str">
        <f t="shared" si="49"/>
        <v/>
      </c>
      <c r="G331" s="182"/>
      <c r="H331" s="182"/>
      <c r="I331" s="182"/>
      <c r="K331" s="139" t="str">
        <f t="shared" si="45"/>
        <v/>
      </c>
      <c r="L331" s="139" t="str">
        <f t="shared" si="46"/>
        <v/>
      </c>
      <c r="V331" s="139" t="s">
        <v>2473</v>
      </c>
      <c r="W331" s="139" t="s">
        <v>2474</v>
      </c>
    </row>
    <row r="332" spans="1:23">
      <c r="A332" s="149"/>
      <c r="B332" s="258" t="str">
        <f t="shared" si="47"/>
        <v/>
      </c>
      <c r="C332" s="149"/>
      <c r="D332" s="258" t="str">
        <f t="shared" si="48"/>
        <v/>
      </c>
      <c r="E332" s="183"/>
      <c r="F332" s="258" t="str">
        <f t="shared" si="49"/>
        <v/>
      </c>
      <c r="G332" s="182"/>
      <c r="H332" s="182"/>
      <c r="I332" s="182"/>
      <c r="K332" s="139" t="str">
        <f t="shared" si="45"/>
        <v/>
      </c>
      <c r="L332" s="139" t="str">
        <f t="shared" si="46"/>
        <v/>
      </c>
      <c r="V332" s="139" t="s">
        <v>2475</v>
      </c>
      <c r="W332" s="139" t="s">
        <v>2476</v>
      </c>
    </row>
    <row r="333" spans="1:23">
      <c r="A333" s="149"/>
      <c r="B333" s="258" t="str">
        <f t="shared" si="47"/>
        <v/>
      </c>
      <c r="C333" s="149"/>
      <c r="D333" s="258" t="str">
        <f t="shared" si="48"/>
        <v/>
      </c>
      <c r="E333" s="183"/>
      <c r="F333" s="258" t="str">
        <f t="shared" si="49"/>
        <v/>
      </c>
      <c r="G333" s="182"/>
      <c r="H333" s="182"/>
      <c r="I333" s="182"/>
      <c r="K333" s="139" t="str">
        <f t="shared" si="45"/>
        <v/>
      </c>
      <c r="L333" s="139" t="str">
        <f t="shared" si="46"/>
        <v/>
      </c>
      <c r="V333" s="139" t="s">
        <v>2477</v>
      </c>
      <c r="W333" s="139" t="s">
        <v>2478</v>
      </c>
    </row>
    <row r="334" spans="1:23">
      <c r="A334" s="149"/>
      <c r="B334" s="258" t="str">
        <f t="shared" si="47"/>
        <v/>
      </c>
      <c r="C334" s="149"/>
      <c r="D334" s="258" t="str">
        <f t="shared" si="48"/>
        <v/>
      </c>
      <c r="E334" s="183"/>
      <c r="F334" s="258" t="str">
        <f t="shared" si="49"/>
        <v/>
      </c>
      <c r="G334" s="182"/>
      <c r="H334" s="182"/>
      <c r="I334" s="182"/>
      <c r="K334" s="139" t="str">
        <f t="shared" si="45"/>
        <v/>
      </c>
      <c r="L334" s="139" t="str">
        <f t="shared" si="46"/>
        <v/>
      </c>
      <c r="V334" s="139" t="s">
        <v>2479</v>
      </c>
      <c r="W334" s="139" t="s">
        <v>2480</v>
      </c>
    </row>
    <row r="335" spans="1:23">
      <c r="A335" s="149"/>
      <c r="B335" s="258" t="str">
        <f t="shared" si="47"/>
        <v/>
      </c>
      <c r="C335" s="149"/>
      <c r="D335" s="258" t="str">
        <f t="shared" si="48"/>
        <v/>
      </c>
      <c r="E335" s="183"/>
      <c r="F335" s="258" t="str">
        <f t="shared" si="49"/>
        <v/>
      </c>
      <c r="G335" s="182"/>
      <c r="H335" s="182"/>
      <c r="I335" s="182"/>
      <c r="K335" s="139" t="str">
        <f t="shared" si="45"/>
        <v/>
      </c>
      <c r="L335" s="139" t="str">
        <f t="shared" si="46"/>
        <v/>
      </c>
      <c r="V335" s="139" t="s">
        <v>2481</v>
      </c>
      <c r="W335" s="139" t="s">
        <v>2482</v>
      </c>
    </row>
    <row r="336" spans="1:23">
      <c r="A336" s="149"/>
      <c r="B336" s="258" t="str">
        <f t="shared" si="47"/>
        <v/>
      </c>
      <c r="C336" s="149"/>
      <c r="D336" s="258" t="str">
        <f t="shared" si="48"/>
        <v/>
      </c>
      <c r="E336" s="183"/>
      <c r="F336" s="258" t="str">
        <f t="shared" si="49"/>
        <v/>
      </c>
      <c r="G336" s="182"/>
      <c r="H336" s="182"/>
      <c r="I336" s="182"/>
      <c r="K336" s="139" t="str">
        <f t="shared" si="45"/>
        <v/>
      </c>
      <c r="L336" s="139" t="str">
        <f t="shared" si="46"/>
        <v/>
      </c>
      <c r="V336" s="139" t="s">
        <v>853</v>
      </c>
      <c r="W336" s="139" t="s">
        <v>854</v>
      </c>
    </row>
    <row r="337" spans="1:23">
      <c r="A337" s="149"/>
      <c r="B337" s="258" t="str">
        <f t="shared" si="47"/>
        <v/>
      </c>
      <c r="C337" s="149"/>
      <c r="D337" s="258" t="str">
        <f t="shared" si="48"/>
        <v/>
      </c>
      <c r="E337" s="183"/>
      <c r="F337" s="258" t="str">
        <f t="shared" si="49"/>
        <v/>
      </c>
      <c r="G337" s="182"/>
      <c r="H337" s="182"/>
      <c r="I337" s="182"/>
      <c r="K337" s="139" t="str">
        <f t="shared" si="45"/>
        <v/>
      </c>
      <c r="L337" s="139" t="str">
        <f t="shared" si="46"/>
        <v/>
      </c>
      <c r="V337" s="139" t="s">
        <v>855</v>
      </c>
      <c r="W337" s="139" t="s">
        <v>856</v>
      </c>
    </row>
    <row r="338" spans="1:23">
      <c r="A338" s="149"/>
      <c r="B338" s="258" t="str">
        <f t="shared" si="47"/>
        <v/>
      </c>
      <c r="C338" s="149"/>
      <c r="D338" s="258" t="str">
        <f t="shared" si="48"/>
        <v/>
      </c>
      <c r="E338" s="183"/>
      <c r="F338" s="258" t="str">
        <f t="shared" si="49"/>
        <v/>
      </c>
      <c r="G338" s="182"/>
      <c r="H338" s="182"/>
      <c r="I338" s="182"/>
      <c r="K338" s="139" t="str">
        <f t="shared" si="45"/>
        <v/>
      </c>
      <c r="L338" s="139" t="str">
        <f t="shared" si="46"/>
        <v/>
      </c>
      <c r="V338" s="139" t="s">
        <v>857</v>
      </c>
      <c r="W338" s="139" t="s">
        <v>858</v>
      </c>
    </row>
    <row r="339" spans="1:23">
      <c r="A339" s="149"/>
      <c r="B339" s="258" t="str">
        <f t="shared" si="47"/>
        <v/>
      </c>
      <c r="C339" s="149"/>
      <c r="D339" s="258" t="str">
        <f t="shared" si="48"/>
        <v/>
      </c>
      <c r="E339" s="183"/>
      <c r="F339" s="258" t="str">
        <f t="shared" si="49"/>
        <v/>
      </c>
      <c r="G339" s="182"/>
      <c r="H339" s="182"/>
      <c r="I339" s="182"/>
      <c r="K339" s="139" t="str">
        <f t="shared" si="45"/>
        <v/>
      </c>
      <c r="L339" s="139" t="str">
        <f t="shared" si="46"/>
        <v/>
      </c>
      <c r="V339" s="139" t="s">
        <v>2483</v>
      </c>
      <c r="W339" s="139" t="s">
        <v>2484</v>
      </c>
    </row>
    <row r="340" spans="1:23">
      <c r="A340" s="149"/>
      <c r="B340" s="258" t="str">
        <f t="shared" si="47"/>
        <v/>
      </c>
      <c r="C340" s="149"/>
      <c r="D340" s="258" t="str">
        <f t="shared" si="48"/>
        <v/>
      </c>
      <c r="E340" s="183"/>
      <c r="F340" s="258" t="str">
        <f t="shared" si="49"/>
        <v/>
      </c>
      <c r="G340" s="182"/>
      <c r="H340" s="182"/>
      <c r="I340" s="182"/>
      <c r="K340" s="139" t="str">
        <f t="shared" si="45"/>
        <v/>
      </c>
      <c r="L340" s="139" t="str">
        <f t="shared" si="46"/>
        <v/>
      </c>
      <c r="V340" s="139" t="s">
        <v>2485</v>
      </c>
      <c r="W340" s="139" t="s">
        <v>2486</v>
      </c>
    </row>
    <row r="341" spans="1:23">
      <c r="A341" s="149"/>
      <c r="B341" s="258" t="str">
        <f t="shared" si="47"/>
        <v/>
      </c>
      <c r="C341" s="149"/>
      <c r="D341" s="258" t="str">
        <f t="shared" si="48"/>
        <v/>
      </c>
      <c r="E341" s="183"/>
      <c r="F341" s="258" t="str">
        <f t="shared" si="49"/>
        <v/>
      </c>
      <c r="G341" s="182"/>
      <c r="H341" s="182"/>
      <c r="I341" s="182"/>
      <c r="K341" s="139" t="str">
        <f t="shared" si="45"/>
        <v/>
      </c>
      <c r="L341" s="139" t="str">
        <f t="shared" si="46"/>
        <v/>
      </c>
      <c r="V341" s="139" t="s">
        <v>2487</v>
      </c>
      <c r="W341" s="139" t="s">
        <v>2488</v>
      </c>
    </row>
    <row r="342" spans="1:23">
      <c r="A342" s="149"/>
      <c r="B342" s="258" t="str">
        <f t="shared" si="47"/>
        <v/>
      </c>
      <c r="C342" s="149"/>
      <c r="D342" s="258" t="str">
        <f t="shared" si="48"/>
        <v/>
      </c>
      <c r="E342" s="183"/>
      <c r="F342" s="258" t="str">
        <f t="shared" si="49"/>
        <v/>
      </c>
      <c r="G342" s="182"/>
      <c r="H342" s="182"/>
      <c r="I342" s="182"/>
      <c r="K342" s="139" t="str">
        <f t="shared" si="45"/>
        <v/>
      </c>
      <c r="L342" s="139" t="str">
        <f t="shared" si="46"/>
        <v/>
      </c>
      <c r="V342" s="139" t="s">
        <v>2489</v>
      </c>
      <c r="W342" s="139" t="s">
        <v>2490</v>
      </c>
    </row>
    <row r="343" spans="1:23">
      <c r="A343" s="149"/>
      <c r="B343" s="258" t="str">
        <f t="shared" si="47"/>
        <v/>
      </c>
      <c r="C343" s="149"/>
      <c r="D343" s="258" t="str">
        <f t="shared" si="48"/>
        <v/>
      </c>
      <c r="E343" s="183"/>
      <c r="F343" s="258" t="str">
        <f t="shared" si="49"/>
        <v/>
      </c>
      <c r="G343" s="182"/>
      <c r="H343" s="182"/>
      <c r="I343" s="182"/>
      <c r="K343" s="139" t="str">
        <f t="shared" si="45"/>
        <v/>
      </c>
      <c r="L343" s="139" t="str">
        <f t="shared" si="46"/>
        <v/>
      </c>
      <c r="V343" s="139" t="s">
        <v>2491</v>
      </c>
      <c r="W343" s="139" t="s">
        <v>2492</v>
      </c>
    </row>
    <row r="344" spans="1:23">
      <c r="A344" s="149"/>
      <c r="B344" s="258" t="str">
        <f t="shared" si="47"/>
        <v/>
      </c>
      <c r="C344" s="149"/>
      <c r="D344" s="258" t="str">
        <f t="shared" si="48"/>
        <v/>
      </c>
      <c r="E344" s="183"/>
      <c r="F344" s="258" t="str">
        <f t="shared" si="49"/>
        <v/>
      </c>
      <c r="G344" s="182"/>
      <c r="H344" s="182"/>
      <c r="I344" s="182"/>
      <c r="K344" s="139" t="str">
        <f t="shared" si="45"/>
        <v/>
      </c>
      <c r="L344" s="139" t="str">
        <f t="shared" si="46"/>
        <v/>
      </c>
      <c r="V344" s="139" t="s">
        <v>2493</v>
      </c>
      <c r="W344" s="139" t="s">
        <v>2494</v>
      </c>
    </row>
    <row r="345" spans="1:23">
      <c r="A345" s="149"/>
      <c r="B345" s="258" t="str">
        <f t="shared" si="47"/>
        <v/>
      </c>
      <c r="C345" s="149"/>
      <c r="D345" s="258" t="str">
        <f t="shared" si="48"/>
        <v/>
      </c>
      <c r="E345" s="183"/>
      <c r="F345" s="258" t="str">
        <f t="shared" si="49"/>
        <v/>
      </c>
      <c r="G345" s="182"/>
      <c r="H345" s="182"/>
      <c r="I345" s="182"/>
      <c r="K345" s="139" t="str">
        <f t="shared" ref="K345:K408" si="50">LEFT(C345,3)</f>
        <v/>
      </c>
      <c r="L345" s="139" t="str">
        <f t="shared" ref="L345:L408" si="51">LEFT(C345,2)</f>
        <v/>
      </c>
      <c r="V345" s="139" t="s">
        <v>2495</v>
      </c>
      <c r="W345" s="139" t="s">
        <v>2496</v>
      </c>
    </row>
    <row r="346" spans="1:23">
      <c r="A346" s="149"/>
      <c r="B346" s="258" t="str">
        <f t="shared" si="47"/>
        <v/>
      </c>
      <c r="C346" s="149"/>
      <c r="D346" s="258" t="str">
        <f t="shared" si="48"/>
        <v/>
      </c>
      <c r="E346" s="183"/>
      <c r="F346" s="258" t="str">
        <f t="shared" si="49"/>
        <v/>
      </c>
      <c r="G346" s="182"/>
      <c r="H346" s="182"/>
      <c r="I346" s="182"/>
      <c r="K346" s="139" t="str">
        <f t="shared" si="50"/>
        <v/>
      </c>
      <c r="L346" s="139" t="str">
        <f t="shared" si="51"/>
        <v/>
      </c>
      <c r="V346" s="139" t="s">
        <v>2497</v>
      </c>
      <c r="W346" s="139" t="s">
        <v>2498</v>
      </c>
    </row>
    <row r="347" spans="1:23">
      <c r="A347" s="149"/>
      <c r="B347" s="258" t="str">
        <f t="shared" si="47"/>
        <v/>
      </c>
      <c r="C347" s="149"/>
      <c r="D347" s="258" t="str">
        <f t="shared" si="48"/>
        <v/>
      </c>
      <c r="E347" s="183"/>
      <c r="F347" s="258" t="str">
        <f t="shared" si="49"/>
        <v/>
      </c>
      <c r="G347" s="182"/>
      <c r="H347" s="182"/>
      <c r="I347" s="182"/>
      <c r="K347" s="139" t="str">
        <f t="shared" si="50"/>
        <v/>
      </c>
      <c r="L347" s="139" t="str">
        <f t="shared" si="51"/>
        <v/>
      </c>
      <c r="V347" s="139" t="s">
        <v>2499</v>
      </c>
      <c r="W347" s="139" t="s">
        <v>2500</v>
      </c>
    </row>
    <row r="348" spans="1:23">
      <c r="A348" s="149"/>
      <c r="B348" s="258" t="str">
        <f t="shared" si="47"/>
        <v/>
      </c>
      <c r="C348" s="149"/>
      <c r="D348" s="258" t="str">
        <f t="shared" si="48"/>
        <v/>
      </c>
      <c r="E348" s="183"/>
      <c r="F348" s="258" t="str">
        <f t="shared" si="49"/>
        <v/>
      </c>
      <c r="G348" s="182"/>
      <c r="H348" s="182"/>
      <c r="I348" s="182"/>
      <c r="K348" s="139" t="str">
        <f t="shared" si="50"/>
        <v/>
      </c>
      <c r="L348" s="139" t="str">
        <f t="shared" si="51"/>
        <v/>
      </c>
      <c r="V348" s="139" t="s">
        <v>2501</v>
      </c>
      <c r="W348" s="139" t="s">
        <v>2502</v>
      </c>
    </row>
    <row r="349" spans="1:23">
      <c r="A349" s="149"/>
      <c r="B349" s="258" t="str">
        <f t="shared" si="47"/>
        <v/>
      </c>
      <c r="C349" s="149"/>
      <c r="D349" s="258" t="str">
        <f t="shared" si="48"/>
        <v/>
      </c>
      <c r="E349" s="183"/>
      <c r="F349" s="258" t="str">
        <f t="shared" si="49"/>
        <v/>
      </c>
      <c r="G349" s="182"/>
      <c r="H349" s="182"/>
      <c r="I349" s="182"/>
      <c r="K349" s="139" t="str">
        <f t="shared" si="50"/>
        <v/>
      </c>
      <c r="L349" s="139" t="str">
        <f t="shared" si="51"/>
        <v/>
      </c>
      <c r="V349" s="139" t="s">
        <v>2503</v>
      </c>
      <c r="W349" s="139" t="s">
        <v>2504</v>
      </c>
    </row>
    <row r="350" spans="1:23">
      <c r="A350" s="149"/>
      <c r="B350" s="258" t="str">
        <f t="shared" si="47"/>
        <v/>
      </c>
      <c r="C350" s="149"/>
      <c r="D350" s="258" t="str">
        <f t="shared" si="48"/>
        <v/>
      </c>
      <c r="E350" s="183"/>
      <c r="F350" s="258" t="str">
        <f t="shared" si="49"/>
        <v/>
      </c>
      <c r="G350" s="182"/>
      <c r="H350" s="182"/>
      <c r="I350" s="182"/>
      <c r="K350" s="139" t="str">
        <f t="shared" si="50"/>
        <v/>
      </c>
      <c r="L350" s="139" t="str">
        <f t="shared" si="51"/>
        <v/>
      </c>
      <c r="V350" s="139" t="s">
        <v>2505</v>
      </c>
      <c r="W350" s="139" t="s">
        <v>2506</v>
      </c>
    </row>
    <row r="351" spans="1:23">
      <c r="A351" s="149"/>
      <c r="B351" s="258" t="str">
        <f t="shared" si="47"/>
        <v/>
      </c>
      <c r="C351" s="149"/>
      <c r="D351" s="258" t="str">
        <f t="shared" si="48"/>
        <v/>
      </c>
      <c r="E351" s="183"/>
      <c r="F351" s="258" t="str">
        <f t="shared" si="49"/>
        <v/>
      </c>
      <c r="G351" s="182"/>
      <c r="H351" s="182"/>
      <c r="I351" s="182"/>
      <c r="K351" s="139" t="str">
        <f t="shared" si="50"/>
        <v/>
      </c>
      <c r="L351" s="139" t="str">
        <f t="shared" si="51"/>
        <v/>
      </c>
      <c r="V351" s="139" t="s">
        <v>859</v>
      </c>
      <c r="W351" s="139" t="s">
        <v>860</v>
      </c>
    </row>
    <row r="352" spans="1:23">
      <c r="A352" s="149"/>
      <c r="B352" s="258" t="str">
        <f t="shared" si="47"/>
        <v/>
      </c>
      <c r="C352" s="149"/>
      <c r="D352" s="258" t="str">
        <f t="shared" si="48"/>
        <v/>
      </c>
      <c r="E352" s="183"/>
      <c r="F352" s="258" t="str">
        <f t="shared" si="49"/>
        <v/>
      </c>
      <c r="G352" s="182"/>
      <c r="H352" s="182"/>
      <c r="I352" s="182"/>
      <c r="K352" s="139" t="str">
        <f t="shared" si="50"/>
        <v/>
      </c>
      <c r="L352" s="139" t="str">
        <f t="shared" si="51"/>
        <v/>
      </c>
      <c r="V352" s="139" t="s">
        <v>861</v>
      </c>
      <c r="W352" s="139" t="s">
        <v>862</v>
      </c>
    </row>
    <row r="353" spans="1:23">
      <c r="A353" s="149"/>
      <c r="B353" s="258" t="str">
        <f t="shared" si="47"/>
        <v/>
      </c>
      <c r="C353" s="149"/>
      <c r="D353" s="258" t="str">
        <f t="shared" si="48"/>
        <v/>
      </c>
      <c r="E353" s="183"/>
      <c r="F353" s="258" t="str">
        <f t="shared" si="49"/>
        <v/>
      </c>
      <c r="G353" s="182"/>
      <c r="H353" s="182"/>
      <c r="I353" s="182"/>
      <c r="K353" s="139" t="str">
        <f t="shared" si="50"/>
        <v/>
      </c>
      <c r="L353" s="139" t="str">
        <f t="shared" si="51"/>
        <v/>
      </c>
      <c r="V353" s="139" t="s">
        <v>863</v>
      </c>
      <c r="W353" s="139" t="s">
        <v>864</v>
      </c>
    </row>
    <row r="354" spans="1:23">
      <c r="A354" s="149"/>
      <c r="B354" s="258" t="str">
        <f t="shared" si="47"/>
        <v/>
      </c>
      <c r="C354" s="149"/>
      <c r="D354" s="258" t="str">
        <f t="shared" si="48"/>
        <v/>
      </c>
      <c r="E354" s="183"/>
      <c r="F354" s="258" t="str">
        <f t="shared" si="49"/>
        <v/>
      </c>
      <c r="G354" s="182"/>
      <c r="H354" s="182"/>
      <c r="I354" s="182"/>
      <c r="K354" s="139" t="str">
        <f t="shared" si="50"/>
        <v/>
      </c>
      <c r="L354" s="139" t="str">
        <f t="shared" si="51"/>
        <v/>
      </c>
      <c r="V354" s="139" t="s">
        <v>865</v>
      </c>
      <c r="W354" s="139" t="s">
        <v>866</v>
      </c>
    </row>
    <row r="355" spans="1:23">
      <c r="A355" s="149"/>
      <c r="B355" s="258" t="str">
        <f t="shared" si="47"/>
        <v/>
      </c>
      <c r="C355" s="149"/>
      <c r="D355" s="258" t="str">
        <f t="shared" si="48"/>
        <v/>
      </c>
      <c r="E355" s="183"/>
      <c r="F355" s="258" t="str">
        <f t="shared" si="49"/>
        <v/>
      </c>
      <c r="G355" s="182"/>
      <c r="H355" s="182"/>
      <c r="I355" s="182"/>
      <c r="K355" s="139" t="str">
        <f t="shared" si="50"/>
        <v/>
      </c>
      <c r="L355" s="139" t="str">
        <f t="shared" si="51"/>
        <v/>
      </c>
      <c r="V355" s="139" t="s">
        <v>867</v>
      </c>
      <c r="W355" s="139" t="s">
        <v>868</v>
      </c>
    </row>
    <row r="356" spans="1:23">
      <c r="A356" s="149"/>
      <c r="B356" s="258" t="str">
        <f t="shared" si="47"/>
        <v/>
      </c>
      <c r="C356" s="149"/>
      <c r="D356" s="258" t="str">
        <f t="shared" si="48"/>
        <v/>
      </c>
      <c r="E356" s="183"/>
      <c r="F356" s="258" t="str">
        <f t="shared" si="49"/>
        <v/>
      </c>
      <c r="G356" s="182"/>
      <c r="H356" s="182"/>
      <c r="I356" s="182"/>
      <c r="K356" s="139" t="str">
        <f t="shared" si="50"/>
        <v/>
      </c>
      <c r="L356" s="139" t="str">
        <f t="shared" si="51"/>
        <v/>
      </c>
      <c r="V356" s="139" t="s">
        <v>869</v>
      </c>
      <c r="W356" s="139" t="s">
        <v>870</v>
      </c>
    </row>
    <row r="357" spans="1:23">
      <c r="A357" s="149"/>
      <c r="B357" s="258" t="str">
        <f t="shared" si="47"/>
        <v/>
      </c>
      <c r="C357" s="149"/>
      <c r="D357" s="258" t="str">
        <f t="shared" si="48"/>
        <v/>
      </c>
      <c r="E357" s="183"/>
      <c r="F357" s="258" t="str">
        <f t="shared" si="49"/>
        <v/>
      </c>
      <c r="G357" s="182"/>
      <c r="H357" s="182"/>
      <c r="I357" s="182"/>
      <c r="K357" s="139" t="str">
        <f t="shared" si="50"/>
        <v/>
      </c>
      <c r="L357" s="139" t="str">
        <f t="shared" si="51"/>
        <v/>
      </c>
      <c r="V357" s="139" t="s">
        <v>871</v>
      </c>
      <c r="W357" s="139" t="s">
        <v>872</v>
      </c>
    </row>
    <row r="358" spans="1:23">
      <c r="A358" s="149"/>
      <c r="B358" s="258" t="str">
        <f t="shared" si="47"/>
        <v/>
      </c>
      <c r="C358" s="149"/>
      <c r="D358" s="258" t="str">
        <f t="shared" si="48"/>
        <v/>
      </c>
      <c r="E358" s="183"/>
      <c r="F358" s="258" t="str">
        <f t="shared" si="49"/>
        <v/>
      </c>
      <c r="G358" s="182"/>
      <c r="H358" s="182"/>
      <c r="I358" s="182"/>
      <c r="K358" s="139" t="str">
        <f t="shared" si="50"/>
        <v/>
      </c>
      <c r="L358" s="139" t="str">
        <f t="shared" si="51"/>
        <v/>
      </c>
      <c r="V358" s="139" t="s">
        <v>873</v>
      </c>
      <c r="W358" s="139" t="s">
        <v>874</v>
      </c>
    </row>
    <row r="359" spans="1:23">
      <c r="A359" s="149"/>
      <c r="B359" s="258" t="str">
        <f t="shared" ref="B359:B422" si="52">IFERROR(VLOOKUP(A359,$M$7:$N$37,2,FALSE),"")</f>
        <v/>
      </c>
      <c r="C359" s="149"/>
      <c r="D359" s="258" t="str">
        <f t="shared" si="48"/>
        <v/>
      </c>
      <c r="E359" s="183"/>
      <c r="F359" s="258" t="str">
        <f t="shared" si="49"/>
        <v/>
      </c>
      <c r="G359" s="182"/>
      <c r="H359" s="182"/>
      <c r="I359" s="182"/>
      <c r="K359" s="139" t="str">
        <f t="shared" si="50"/>
        <v/>
      </c>
      <c r="L359" s="139" t="str">
        <f t="shared" si="51"/>
        <v/>
      </c>
      <c r="V359" s="139" t="s">
        <v>875</v>
      </c>
      <c r="W359" s="139" t="s">
        <v>876</v>
      </c>
    </row>
    <row r="360" spans="1:23">
      <c r="A360" s="149"/>
      <c r="B360" s="258" t="str">
        <f t="shared" si="52"/>
        <v/>
      </c>
      <c r="C360" s="149"/>
      <c r="D360" s="258" t="str">
        <f t="shared" ref="D360:D423" si="53">IFERROR(VLOOKUP(C360,$P$6:$R$214,2,FALSE),"")</f>
        <v/>
      </c>
      <c r="E360" s="183"/>
      <c r="F360" s="258" t="str">
        <f t="shared" ref="F360:F423" si="54">IFERROR(VLOOKUP(E360,$V$7:$W$1103,2,FALSE),"")</f>
        <v/>
      </c>
      <c r="G360" s="182"/>
      <c r="H360" s="182"/>
      <c r="I360" s="182"/>
      <c r="K360" s="139" t="str">
        <f t="shared" si="50"/>
        <v/>
      </c>
      <c r="L360" s="139" t="str">
        <f t="shared" si="51"/>
        <v/>
      </c>
      <c r="V360" s="139" t="s">
        <v>877</v>
      </c>
      <c r="W360" s="139" t="s">
        <v>878</v>
      </c>
    </row>
    <row r="361" spans="1:23">
      <c r="A361" s="149"/>
      <c r="B361" s="258" t="str">
        <f t="shared" si="52"/>
        <v/>
      </c>
      <c r="C361" s="149"/>
      <c r="D361" s="258" t="str">
        <f t="shared" si="53"/>
        <v/>
      </c>
      <c r="E361" s="183"/>
      <c r="F361" s="258" t="str">
        <f t="shared" si="54"/>
        <v/>
      </c>
      <c r="G361" s="182"/>
      <c r="H361" s="182"/>
      <c r="I361" s="182"/>
      <c r="K361" s="139" t="str">
        <f t="shared" si="50"/>
        <v/>
      </c>
      <c r="L361" s="139" t="str">
        <f t="shared" si="51"/>
        <v/>
      </c>
      <c r="V361" s="139" t="s">
        <v>879</v>
      </c>
      <c r="W361" s="139" t="s">
        <v>880</v>
      </c>
    </row>
    <row r="362" spans="1:23">
      <c r="A362" s="149"/>
      <c r="B362" s="258" t="str">
        <f t="shared" si="52"/>
        <v/>
      </c>
      <c r="C362" s="149"/>
      <c r="D362" s="258" t="str">
        <f t="shared" si="53"/>
        <v/>
      </c>
      <c r="E362" s="183"/>
      <c r="F362" s="258" t="str">
        <f t="shared" si="54"/>
        <v/>
      </c>
      <c r="G362" s="182"/>
      <c r="H362" s="182"/>
      <c r="I362" s="182"/>
      <c r="K362" s="139" t="str">
        <f t="shared" si="50"/>
        <v/>
      </c>
      <c r="L362" s="139" t="str">
        <f t="shared" si="51"/>
        <v/>
      </c>
      <c r="V362" s="139" t="s">
        <v>881</v>
      </c>
      <c r="W362" s="139" t="s">
        <v>882</v>
      </c>
    </row>
    <row r="363" spans="1:23">
      <c r="A363" s="149"/>
      <c r="B363" s="144" t="str">
        <f t="shared" si="52"/>
        <v/>
      </c>
      <c r="C363" s="149"/>
      <c r="D363" s="144" t="str">
        <f t="shared" si="53"/>
        <v/>
      </c>
      <c r="E363" s="183"/>
      <c r="F363" s="144" t="str">
        <f t="shared" si="54"/>
        <v/>
      </c>
      <c r="G363" s="182"/>
      <c r="H363" s="182"/>
      <c r="I363" s="182"/>
      <c r="K363" s="139" t="str">
        <f t="shared" si="50"/>
        <v/>
      </c>
      <c r="L363" s="139" t="str">
        <f t="shared" si="51"/>
        <v/>
      </c>
      <c r="V363" s="139" t="s">
        <v>883</v>
      </c>
      <c r="W363" s="139" t="s">
        <v>884</v>
      </c>
    </row>
    <row r="364" spans="1:23">
      <c r="A364" s="149"/>
      <c r="B364" s="144" t="str">
        <f t="shared" si="52"/>
        <v/>
      </c>
      <c r="C364" s="149"/>
      <c r="D364" s="144" t="str">
        <f t="shared" si="53"/>
        <v/>
      </c>
      <c r="E364" s="183"/>
      <c r="F364" s="144" t="str">
        <f t="shared" si="54"/>
        <v/>
      </c>
      <c r="G364" s="182"/>
      <c r="H364" s="182"/>
      <c r="I364" s="182"/>
      <c r="K364" s="139" t="str">
        <f t="shared" si="50"/>
        <v/>
      </c>
      <c r="L364" s="139" t="str">
        <f t="shared" si="51"/>
        <v/>
      </c>
      <c r="V364" s="139" t="s">
        <v>885</v>
      </c>
      <c r="W364" s="139" t="s">
        <v>886</v>
      </c>
    </row>
    <row r="365" spans="1:23">
      <c r="A365" s="149"/>
      <c r="B365" s="144" t="str">
        <f t="shared" si="52"/>
        <v/>
      </c>
      <c r="C365" s="149"/>
      <c r="D365" s="144" t="str">
        <f t="shared" si="53"/>
        <v/>
      </c>
      <c r="E365" s="183"/>
      <c r="F365" s="144" t="str">
        <f t="shared" si="54"/>
        <v/>
      </c>
      <c r="G365" s="182"/>
      <c r="H365" s="182"/>
      <c r="I365" s="182"/>
      <c r="K365" s="139" t="str">
        <f t="shared" si="50"/>
        <v/>
      </c>
      <c r="L365" s="139" t="str">
        <f t="shared" si="51"/>
        <v/>
      </c>
      <c r="V365" s="139" t="s">
        <v>887</v>
      </c>
      <c r="W365" s="139" t="s">
        <v>888</v>
      </c>
    </row>
    <row r="366" spans="1:23">
      <c r="A366" s="149"/>
      <c r="B366" s="144" t="str">
        <f t="shared" si="52"/>
        <v/>
      </c>
      <c r="C366" s="149"/>
      <c r="D366" s="144" t="str">
        <f t="shared" si="53"/>
        <v/>
      </c>
      <c r="E366" s="183"/>
      <c r="F366" s="144" t="str">
        <f t="shared" si="54"/>
        <v/>
      </c>
      <c r="G366" s="182"/>
      <c r="H366" s="182"/>
      <c r="I366" s="182"/>
      <c r="K366" s="139" t="str">
        <f t="shared" si="50"/>
        <v/>
      </c>
      <c r="L366" s="139" t="str">
        <f t="shared" si="51"/>
        <v/>
      </c>
      <c r="V366" s="139" t="s">
        <v>889</v>
      </c>
      <c r="W366" s="139" t="s">
        <v>890</v>
      </c>
    </row>
    <row r="367" spans="1:23">
      <c r="A367" s="149"/>
      <c r="B367" s="144" t="str">
        <f t="shared" si="52"/>
        <v/>
      </c>
      <c r="C367" s="149"/>
      <c r="D367" s="144" t="str">
        <f t="shared" si="53"/>
        <v/>
      </c>
      <c r="E367" s="183"/>
      <c r="F367" s="144" t="str">
        <f t="shared" si="54"/>
        <v/>
      </c>
      <c r="G367" s="182"/>
      <c r="H367" s="182"/>
      <c r="I367" s="182"/>
      <c r="K367" s="139" t="str">
        <f t="shared" si="50"/>
        <v/>
      </c>
      <c r="L367" s="139" t="str">
        <f t="shared" si="51"/>
        <v/>
      </c>
      <c r="V367" s="139" t="s">
        <v>891</v>
      </c>
      <c r="W367" s="139" t="s">
        <v>892</v>
      </c>
    </row>
    <row r="368" spans="1:23">
      <c r="A368" s="149"/>
      <c r="B368" s="144" t="str">
        <f t="shared" si="52"/>
        <v/>
      </c>
      <c r="C368" s="149"/>
      <c r="D368" s="144" t="str">
        <f t="shared" si="53"/>
        <v/>
      </c>
      <c r="E368" s="183"/>
      <c r="F368" s="144" t="str">
        <f t="shared" si="54"/>
        <v/>
      </c>
      <c r="G368" s="182"/>
      <c r="H368" s="182"/>
      <c r="I368" s="182"/>
      <c r="K368" s="139" t="str">
        <f t="shared" si="50"/>
        <v/>
      </c>
      <c r="L368" s="139" t="str">
        <f t="shared" si="51"/>
        <v/>
      </c>
      <c r="V368" s="139" t="s">
        <v>893</v>
      </c>
      <c r="W368" s="139" t="s">
        <v>894</v>
      </c>
    </row>
    <row r="369" spans="1:23">
      <c r="A369" s="149"/>
      <c r="B369" s="144" t="str">
        <f t="shared" si="52"/>
        <v/>
      </c>
      <c r="C369" s="149"/>
      <c r="D369" s="144" t="str">
        <f t="shared" si="53"/>
        <v/>
      </c>
      <c r="E369" s="183"/>
      <c r="F369" s="144" t="str">
        <f t="shared" si="54"/>
        <v/>
      </c>
      <c r="G369" s="182"/>
      <c r="H369" s="182"/>
      <c r="I369" s="182"/>
      <c r="K369" s="139" t="str">
        <f t="shared" si="50"/>
        <v/>
      </c>
      <c r="L369" s="139" t="str">
        <f t="shared" si="51"/>
        <v/>
      </c>
      <c r="V369" s="139" t="s">
        <v>895</v>
      </c>
      <c r="W369" s="139" t="s">
        <v>896</v>
      </c>
    </row>
    <row r="370" spans="1:23">
      <c r="A370" s="149"/>
      <c r="B370" s="144" t="str">
        <f t="shared" si="52"/>
        <v/>
      </c>
      <c r="C370" s="149"/>
      <c r="D370" s="144" t="str">
        <f t="shared" si="53"/>
        <v/>
      </c>
      <c r="E370" s="183"/>
      <c r="F370" s="144" t="str">
        <f t="shared" si="54"/>
        <v/>
      </c>
      <c r="G370" s="182"/>
      <c r="H370" s="182"/>
      <c r="I370" s="182"/>
      <c r="K370" s="139" t="str">
        <f t="shared" si="50"/>
        <v/>
      </c>
      <c r="L370" s="139" t="str">
        <f t="shared" si="51"/>
        <v/>
      </c>
      <c r="V370" s="139" t="s">
        <v>897</v>
      </c>
      <c r="W370" s="139" t="s">
        <v>898</v>
      </c>
    </row>
    <row r="371" spans="1:23">
      <c r="A371" s="149"/>
      <c r="B371" s="144" t="str">
        <f t="shared" si="52"/>
        <v/>
      </c>
      <c r="C371" s="149"/>
      <c r="D371" s="144" t="str">
        <f t="shared" si="53"/>
        <v/>
      </c>
      <c r="E371" s="183"/>
      <c r="F371" s="144" t="str">
        <f t="shared" si="54"/>
        <v/>
      </c>
      <c r="G371" s="182"/>
      <c r="H371" s="182"/>
      <c r="I371" s="182"/>
      <c r="K371" s="139" t="str">
        <f t="shared" si="50"/>
        <v/>
      </c>
      <c r="L371" s="139" t="str">
        <f t="shared" si="51"/>
        <v/>
      </c>
      <c r="V371" s="139" t="s">
        <v>899</v>
      </c>
      <c r="W371" s="139" t="s">
        <v>900</v>
      </c>
    </row>
    <row r="372" spans="1:23">
      <c r="A372" s="149"/>
      <c r="B372" s="144" t="str">
        <f t="shared" si="52"/>
        <v/>
      </c>
      <c r="C372" s="149"/>
      <c r="D372" s="144" t="str">
        <f t="shared" si="53"/>
        <v/>
      </c>
      <c r="E372" s="183"/>
      <c r="F372" s="144" t="str">
        <f t="shared" si="54"/>
        <v/>
      </c>
      <c r="G372" s="182"/>
      <c r="H372" s="182"/>
      <c r="I372" s="182"/>
      <c r="K372" s="139" t="str">
        <f t="shared" si="50"/>
        <v/>
      </c>
      <c r="L372" s="139" t="str">
        <f t="shared" si="51"/>
        <v/>
      </c>
      <c r="V372" s="139" t="s">
        <v>901</v>
      </c>
      <c r="W372" s="139" t="s">
        <v>902</v>
      </c>
    </row>
    <row r="373" spans="1:23">
      <c r="A373" s="149"/>
      <c r="B373" s="144" t="str">
        <f t="shared" si="52"/>
        <v/>
      </c>
      <c r="C373" s="149"/>
      <c r="D373" s="144" t="str">
        <f t="shared" si="53"/>
        <v/>
      </c>
      <c r="E373" s="183"/>
      <c r="F373" s="144" t="str">
        <f t="shared" si="54"/>
        <v/>
      </c>
      <c r="G373" s="182"/>
      <c r="H373" s="182"/>
      <c r="I373" s="182"/>
      <c r="K373" s="139" t="str">
        <f t="shared" si="50"/>
        <v/>
      </c>
      <c r="L373" s="139" t="str">
        <f t="shared" si="51"/>
        <v/>
      </c>
      <c r="V373" s="139" t="s">
        <v>903</v>
      </c>
      <c r="W373" s="139" t="s">
        <v>902</v>
      </c>
    </row>
    <row r="374" spans="1:23">
      <c r="A374" s="149"/>
      <c r="B374" s="144" t="str">
        <f t="shared" si="52"/>
        <v/>
      </c>
      <c r="C374" s="149"/>
      <c r="D374" s="144" t="str">
        <f t="shared" si="53"/>
        <v/>
      </c>
      <c r="E374" s="183"/>
      <c r="F374" s="144" t="str">
        <f t="shared" si="54"/>
        <v/>
      </c>
      <c r="G374" s="182"/>
      <c r="H374" s="182"/>
      <c r="I374" s="182"/>
      <c r="K374" s="139" t="str">
        <f t="shared" si="50"/>
        <v/>
      </c>
      <c r="L374" s="139" t="str">
        <f t="shared" si="51"/>
        <v/>
      </c>
      <c r="V374" s="139" t="s">
        <v>904</v>
      </c>
      <c r="W374" s="139" t="s">
        <v>905</v>
      </c>
    </row>
    <row r="375" spans="1:23">
      <c r="A375" s="149"/>
      <c r="B375" s="144" t="str">
        <f t="shared" si="52"/>
        <v/>
      </c>
      <c r="C375" s="149"/>
      <c r="D375" s="144" t="str">
        <f t="shared" si="53"/>
        <v/>
      </c>
      <c r="E375" s="183"/>
      <c r="F375" s="144" t="str">
        <f t="shared" si="54"/>
        <v/>
      </c>
      <c r="G375" s="182"/>
      <c r="H375" s="182"/>
      <c r="I375" s="182"/>
      <c r="K375" s="139" t="str">
        <f t="shared" si="50"/>
        <v/>
      </c>
      <c r="L375" s="139" t="str">
        <f t="shared" si="51"/>
        <v/>
      </c>
      <c r="V375" s="139" t="s">
        <v>906</v>
      </c>
      <c r="W375" s="139" t="s">
        <v>905</v>
      </c>
    </row>
    <row r="376" spans="1:23">
      <c r="A376" s="149"/>
      <c r="B376" s="144" t="str">
        <f t="shared" si="52"/>
        <v/>
      </c>
      <c r="C376" s="149"/>
      <c r="D376" s="144" t="str">
        <f t="shared" si="53"/>
        <v/>
      </c>
      <c r="E376" s="183"/>
      <c r="F376" s="144" t="str">
        <f t="shared" si="54"/>
        <v/>
      </c>
      <c r="G376" s="182"/>
      <c r="H376" s="182"/>
      <c r="I376" s="182"/>
      <c r="K376" s="139" t="str">
        <f t="shared" si="50"/>
        <v/>
      </c>
      <c r="L376" s="139" t="str">
        <f t="shared" si="51"/>
        <v/>
      </c>
      <c r="V376" s="139" t="s">
        <v>1512</v>
      </c>
      <c r="W376" s="139" t="s">
        <v>1513</v>
      </c>
    </row>
    <row r="377" spans="1:23">
      <c r="A377" s="149"/>
      <c r="B377" s="144" t="str">
        <f t="shared" si="52"/>
        <v/>
      </c>
      <c r="C377" s="149"/>
      <c r="D377" s="144" t="str">
        <f t="shared" si="53"/>
        <v/>
      </c>
      <c r="E377" s="183"/>
      <c r="F377" s="144" t="str">
        <f t="shared" si="54"/>
        <v/>
      </c>
      <c r="G377" s="182"/>
      <c r="H377" s="182"/>
      <c r="I377" s="182"/>
      <c r="K377" s="139" t="str">
        <f t="shared" si="50"/>
        <v/>
      </c>
      <c r="L377" s="139" t="str">
        <f t="shared" si="51"/>
        <v/>
      </c>
      <c r="V377" s="139" t="s">
        <v>1514</v>
      </c>
      <c r="W377" s="139" t="s">
        <v>1515</v>
      </c>
    </row>
    <row r="378" spans="1:23">
      <c r="A378" s="149"/>
      <c r="B378" s="144" t="str">
        <f t="shared" si="52"/>
        <v/>
      </c>
      <c r="C378" s="149"/>
      <c r="D378" s="144" t="str">
        <f t="shared" si="53"/>
        <v/>
      </c>
      <c r="E378" s="183"/>
      <c r="F378" s="144" t="str">
        <f t="shared" si="54"/>
        <v/>
      </c>
      <c r="G378" s="182"/>
      <c r="H378" s="182"/>
      <c r="I378" s="182"/>
      <c r="K378" s="139" t="str">
        <f t="shared" si="50"/>
        <v/>
      </c>
      <c r="L378" s="139" t="str">
        <f t="shared" si="51"/>
        <v/>
      </c>
      <c r="V378" s="139" t="s">
        <v>1516</v>
      </c>
      <c r="W378" s="139" t="s">
        <v>1517</v>
      </c>
    </row>
    <row r="379" spans="1:23">
      <c r="A379" s="149"/>
      <c r="B379" s="144" t="str">
        <f t="shared" si="52"/>
        <v/>
      </c>
      <c r="C379" s="149"/>
      <c r="D379" s="144" t="str">
        <f t="shared" si="53"/>
        <v/>
      </c>
      <c r="E379" s="183"/>
      <c r="F379" s="144" t="str">
        <f t="shared" si="54"/>
        <v/>
      </c>
      <c r="G379" s="182"/>
      <c r="H379" s="182"/>
      <c r="I379" s="182"/>
      <c r="K379" s="139" t="str">
        <f t="shared" si="50"/>
        <v/>
      </c>
      <c r="L379" s="139" t="str">
        <f t="shared" si="51"/>
        <v/>
      </c>
      <c r="V379" s="139" t="s">
        <v>1518</v>
      </c>
      <c r="W379" s="139" t="s">
        <v>1519</v>
      </c>
    </row>
    <row r="380" spans="1:23">
      <c r="A380" s="149"/>
      <c r="B380" s="144" t="str">
        <f t="shared" si="52"/>
        <v/>
      </c>
      <c r="C380" s="149"/>
      <c r="D380" s="144" t="str">
        <f t="shared" si="53"/>
        <v/>
      </c>
      <c r="E380" s="183"/>
      <c r="F380" s="144" t="str">
        <f t="shared" si="54"/>
        <v/>
      </c>
      <c r="G380" s="182"/>
      <c r="H380" s="182"/>
      <c r="I380" s="182"/>
      <c r="K380" s="139" t="str">
        <f t="shared" si="50"/>
        <v/>
      </c>
      <c r="L380" s="139" t="str">
        <f t="shared" si="51"/>
        <v/>
      </c>
      <c r="V380" s="139" t="s">
        <v>1520</v>
      </c>
      <c r="W380" s="139" t="s">
        <v>1521</v>
      </c>
    </row>
    <row r="381" spans="1:23">
      <c r="A381" s="149"/>
      <c r="B381" s="144" t="str">
        <f t="shared" si="52"/>
        <v/>
      </c>
      <c r="C381" s="149"/>
      <c r="D381" s="144" t="str">
        <f t="shared" si="53"/>
        <v/>
      </c>
      <c r="E381" s="183"/>
      <c r="F381" s="144" t="str">
        <f t="shared" si="54"/>
        <v/>
      </c>
      <c r="G381" s="182"/>
      <c r="H381" s="182"/>
      <c r="I381" s="182"/>
      <c r="K381" s="139" t="str">
        <f t="shared" si="50"/>
        <v/>
      </c>
      <c r="L381" s="139" t="str">
        <f t="shared" si="51"/>
        <v/>
      </c>
      <c r="V381" s="139" t="s">
        <v>1522</v>
      </c>
      <c r="W381" s="139" t="s">
        <v>1523</v>
      </c>
    </row>
    <row r="382" spans="1:23">
      <c r="A382" s="149"/>
      <c r="B382" s="144" t="str">
        <f t="shared" si="52"/>
        <v/>
      </c>
      <c r="C382" s="149"/>
      <c r="D382" s="144" t="str">
        <f t="shared" si="53"/>
        <v/>
      </c>
      <c r="E382" s="183"/>
      <c r="F382" s="144" t="str">
        <f t="shared" si="54"/>
        <v/>
      </c>
      <c r="G382" s="182"/>
      <c r="H382" s="182"/>
      <c r="I382" s="182"/>
      <c r="K382" s="139" t="str">
        <f t="shared" si="50"/>
        <v/>
      </c>
      <c r="L382" s="139" t="str">
        <f t="shared" si="51"/>
        <v/>
      </c>
      <c r="V382" s="139" t="s">
        <v>1524</v>
      </c>
      <c r="W382" s="139" t="s">
        <v>1525</v>
      </c>
    </row>
    <row r="383" spans="1:23">
      <c r="A383" s="149"/>
      <c r="B383" s="144" t="str">
        <f t="shared" si="52"/>
        <v/>
      </c>
      <c r="C383" s="149"/>
      <c r="D383" s="144" t="str">
        <f t="shared" si="53"/>
        <v/>
      </c>
      <c r="E383" s="183"/>
      <c r="F383" s="144" t="str">
        <f t="shared" si="54"/>
        <v/>
      </c>
      <c r="G383" s="182"/>
      <c r="H383" s="182"/>
      <c r="I383" s="182"/>
      <c r="K383" s="139" t="str">
        <f t="shared" si="50"/>
        <v/>
      </c>
      <c r="L383" s="139" t="str">
        <f t="shared" si="51"/>
        <v/>
      </c>
      <c r="V383" s="139" t="s">
        <v>1526</v>
      </c>
      <c r="W383" s="139" t="s">
        <v>1527</v>
      </c>
    </row>
    <row r="384" spans="1:23">
      <c r="A384" s="149"/>
      <c r="B384" s="144" t="str">
        <f t="shared" si="52"/>
        <v/>
      </c>
      <c r="C384" s="149"/>
      <c r="D384" s="144" t="str">
        <f t="shared" si="53"/>
        <v/>
      </c>
      <c r="E384" s="183"/>
      <c r="F384" s="144" t="str">
        <f t="shared" si="54"/>
        <v/>
      </c>
      <c r="G384" s="182"/>
      <c r="H384" s="182"/>
      <c r="I384" s="182"/>
      <c r="K384" s="139" t="str">
        <f t="shared" si="50"/>
        <v/>
      </c>
      <c r="L384" s="139" t="str">
        <f t="shared" si="51"/>
        <v/>
      </c>
      <c r="V384" s="139" t="s">
        <v>1528</v>
      </c>
      <c r="W384" s="139" t="s">
        <v>1529</v>
      </c>
    </row>
    <row r="385" spans="1:23">
      <c r="A385" s="149"/>
      <c r="B385" s="144" t="str">
        <f t="shared" si="52"/>
        <v/>
      </c>
      <c r="C385" s="149"/>
      <c r="D385" s="144" t="str">
        <f t="shared" si="53"/>
        <v/>
      </c>
      <c r="E385" s="183"/>
      <c r="F385" s="144" t="str">
        <f t="shared" si="54"/>
        <v/>
      </c>
      <c r="G385" s="182"/>
      <c r="H385" s="182"/>
      <c r="I385" s="182"/>
      <c r="K385" s="139" t="str">
        <f t="shared" si="50"/>
        <v/>
      </c>
      <c r="L385" s="139" t="str">
        <f t="shared" si="51"/>
        <v/>
      </c>
      <c r="V385" s="139" t="s">
        <v>1530</v>
      </c>
      <c r="W385" s="139" t="s">
        <v>1531</v>
      </c>
    </row>
    <row r="386" spans="1:23">
      <c r="A386" s="149"/>
      <c r="B386" s="144" t="str">
        <f t="shared" si="52"/>
        <v/>
      </c>
      <c r="C386" s="149"/>
      <c r="D386" s="144" t="str">
        <f t="shared" si="53"/>
        <v/>
      </c>
      <c r="E386" s="183"/>
      <c r="F386" s="144" t="str">
        <f t="shared" si="54"/>
        <v/>
      </c>
      <c r="G386" s="182"/>
      <c r="H386" s="182"/>
      <c r="I386" s="182"/>
      <c r="K386" s="139" t="str">
        <f t="shared" si="50"/>
        <v/>
      </c>
      <c r="L386" s="139" t="str">
        <f t="shared" si="51"/>
        <v/>
      </c>
      <c r="V386" s="139" t="s">
        <v>1532</v>
      </c>
      <c r="W386" s="139" t="s">
        <v>1533</v>
      </c>
    </row>
    <row r="387" spans="1:23">
      <c r="A387" s="149"/>
      <c r="B387" s="144" t="str">
        <f t="shared" si="52"/>
        <v/>
      </c>
      <c r="C387" s="149"/>
      <c r="D387" s="144" t="str">
        <f t="shared" si="53"/>
        <v/>
      </c>
      <c r="E387" s="183"/>
      <c r="F387" s="144" t="str">
        <f t="shared" si="54"/>
        <v/>
      </c>
      <c r="G387" s="182"/>
      <c r="H387" s="182"/>
      <c r="I387" s="182"/>
      <c r="K387" s="139" t="str">
        <f t="shared" si="50"/>
        <v/>
      </c>
      <c r="L387" s="139" t="str">
        <f t="shared" si="51"/>
        <v/>
      </c>
      <c r="V387" s="139" t="s">
        <v>1534</v>
      </c>
      <c r="W387" s="139" t="s">
        <v>1535</v>
      </c>
    </row>
    <row r="388" spans="1:23">
      <c r="A388" s="149"/>
      <c r="B388" s="144" t="str">
        <f t="shared" si="52"/>
        <v/>
      </c>
      <c r="C388" s="149"/>
      <c r="D388" s="144" t="str">
        <f t="shared" si="53"/>
        <v/>
      </c>
      <c r="E388" s="183"/>
      <c r="F388" s="144" t="str">
        <f t="shared" si="54"/>
        <v/>
      </c>
      <c r="G388" s="182"/>
      <c r="H388" s="182"/>
      <c r="I388" s="182"/>
      <c r="K388" s="139" t="str">
        <f t="shared" si="50"/>
        <v/>
      </c>
      <c r="L388" s="139" t="str">
        <f t="shared" si="51"/>
        <v/>
      </c>
      <c r="V388" s="139" t="s">
        <v>1536</v>
      </c>
      <c r="W388" s="139" t="s">
        <v>1537</v>
      </c>
    </row>
    <row r="389" spans="1:23">
      <c r="A389" s="149"/>
      <c r="B389" s="144" t="str">
        <f t="shared" si="52"/>
        <v/>
      </c>
      <c r="C389" s="149"/>
      <c r="D389" s="144" t="str">
        <f t="shared" si="53"/>
        <v/>
      </c>
      <c r="E389" s="183"/>
      <c r="F389" s="144" t="str">
        <f t="shared" si="54"/>
        <v/>
      </c>
      <c r="G389" s="182"/>
      <c r="H389" s="182"/>
      <c r="I389" s="182"/>
      <c r="K389" s="139" t="str">
        <f t="shared" si="50"/>
        <v/>
      </c>
      <c r="L389" s="139" t="str">
        <f t="shared" si="51"/>
        <v/>
      </c>
      <c r="V389" s="139" t="s">
        <v>1538</v>
      </c>
      <c r="W389" s="139" t="s">
        <v>1539</v>
      </c>
    </row>
    <row r="390" spans="1:23">
      <c r="A390" s="149"/>
      <c r="B390" s="144" t="str">
        <f t="shared" si="52"/>
        <v/>
      </c>
      <c r="C390" s="149"/>
      <c r="D390" s="144" t="str">
        <f t="shared" si="53"/>
        <v/>
      </c>
      <c r="E390" s="183"/>
      <c r="F390" s="144" t="str">
        <f t="shared" si="54"/>
        <v/>
      </c>
      <c r="G390" s="182"/>
      <c r="H390" s="182"/>
      <c r="I390" s="182"/>
      <c r="K390" s="139" t="str">
        <f t="shared" si="50"/>
        <v/>
      </c>
      <c r="L390" s="139" t="str">
        <f t="shared" si="51"/>
        <v/>
      </c>
      <c r="V390" s="139" t="s">
        <v>1540</v>
      </c>
      <c r="W390" s="139" t="s">
        <v>1541</v>
      </c>
    </row>
    <row r="391" spans="1:23">
      <c r="A391" s="149"/>
      <c r="B391" s="144" t="str">
        <f t="shared" si="52"/>
        <v/>
      </c>
      <c r="C391" s="149"/>
      <c r="D391" s="144" t="str">
        <f t="shared" si="53"/>
        <v/>
      </c>
      <c r="E391" s="183"/>
      <c r="F391" s="144" t="str">
        <f t="shared" si="54"/>
        <v/>
      </c>
      <c r="G391" s="182"/>
      <c r="H391" s="182"/>
      <c r="I391" s="182"/>
      <c r="K391" s="139" t="str">
        <f t="shared" si="50"/>
        <v/>
      </c>
      <c r="L391" s="139" t="str">
        <f t="shared" si="51"/>
        <v/>
      </c>
      <c r="V391" s="139" t="s">
        <v>1542</v>
      </c>
      <c r="W391" s="139" t="s">
        <v>1543</v>
      </c>
    </row>
    <row r="392" spans="1:23">
      <c r="A392" s="149"/>
      <c r="B392" s="144" t="str">
        <f t="shared" si="52"/>
        <v/>
      </c>
      <c r="C392" s="149"/>
      <c r="D392" s="144" t="str">
        <f t="shared" si="53"/>
        <v/>
      </c>
      <c r="E392" s="183"/>
      <c r="F392" s="144" t="str">
        <f t="shared" si="54"/>
        <v/>
      </c>
      <c r="G392" s="182"/>
      <c r="H392" s="182"/>
      <c r="I392" s="182"/>
      <c r="K392" s="139" t="str">
        <f t="shared" si="50"/>
        <v/>
      </c>
      <c r="L392" s="139" t="str">
        <f t="shared" si="51"/>
        <v/>
      </c>
      <c r="V392" s="139" t="s">
        <v>1544</v>
      </c>
      <c r="W392" s="139" t="s">
        <v>1545</v>
      </c>
    </row>
    <row r="393" spans="1:23">
      <c r="A393" s="149"/>
      <c r="B393" s="144" t="str">
        <f t="shared" si="52"/>
        <v/>
      </c>
      <c r="C393" s="149"/>
      <c r="D393" s="144" t="str">
        <f t="shared" si="53"/>
        <v/>
      </c>
      <c r="E393" s="183"/>
      <c r="F393" s="144" t="str">
        <f t="shared" si="54"/>
        <v/>
      </c>
      <c r="G393" s="182"/>
      <c r="H393" s="182"/>
      <c r="I393" s="182"/>
      <c r="K393" s="139" t="str">
        <f t="shared" si="50"/>
        <v/>
      </c>
      <c r="L393" s="139" t="str">
        <f t="shared" si="51"/>
        <v/>
      </c>
      <c r="V393" s="139" t="s">
        <v>1546</v>
      </c>
      <c r="W393" s="139" t="s">
        <v>1547</v>
      </c>
    </row>
    <row r="394" spans="1:23">
      <c r="A394" s="149"/>
      <c r="B394" s="144" t="str">
        <f t="shared" si="52"/>
        <v/>
      </c>
      <c r="C394" s="149"/>
      <c r="D394" s="144" t="str">
        <f t="shared" si="53"/>
        <v/>
      </c>
      <c r="E394" s="183"/>
      <c r="F394" s="144" t="str">
        <f t="shared" si="54"/>
        <v/>
      </c>
      <c r="G394" s="182"/>
      <c r="H394" s="182"/>
      <c r="I394" s="182"/>
      <c r="K394" s="139" t="str">
        <f t="shared" si="50"/>
        <v/>
      </c>
      <c r="L394" s="139" t="str">
        <f t="shared" si="51"/>
        <v/>
      </c>
      <c r="V394" s="139" t="s">
        <v>1548</v>
      </c>
      <c r="W394" s="139" t="s">
        <v>1549</v>
      </c>
    </row>
    <row r="395" spans="1:23">
      <c r="A395" s="149"/>
      <c r="B395" s="144" t="str">
        <f t="shared" si="52"/>
        <v/>
      </c>
      <c r="C395" s="149"/>
      <c r="D395" s="144" t="str">
        <f t="shared" si="53"/>
        <v/>
      </c>
      <c r="E395" s="183"/>
      <c r="F395" s="144" t="str">
        <f t="shared" si="54"/>
        <v/>
      </c>
      <c r="G395" s="182"/>
      <c r="H395" s="182"/>
      <c r="I395" s="182"/>
      <c r="K395" s="139" t="str">
        <f t="shared" si="50"/>
        <v/>
      </c>
      <c r="L395" s="139" t="str">
        <f t="shared" si="51"/>
        <v/>
      </c>
      <c r="V395" s="139" t="s">
        <v>1550</v>
      </c>
      <c r="W395" s="139" t="s">
        <v>1551</v>
      </c>
    </row>
    <row r="396" spans="1:23">
      <c r="A396" s="149"/>
      <c r="B396" s="144" t="str">
        <f t="shared" si="52"/>
        <v/>
      </c>
      <c r="C396" s="149"/>
      <c r="D396" s="144" t="str">
        <f t="shared" si="53"/>
        <v/>
      </c>
      <c r="E396" s="183"/>
      <c r="F396" s="144" t="str">
        <f t="shared" si="54"/>
        <v/>
      </c>
      <c r="G396" s="182"/>
      <c r="H396" s="182"/>
      <c r="I396" s="182"/>
      <c r="K396" s="139" t="str">
        <f t="shared" si="50"/>
        <v/>
      </c>
      <c r="L396" s="139" t="str">
        <f t="shared" si="51"/>
        <v/>
      </c>
      <c r="V396" s="139" t="s">
        <v>1552</v>
      </c>
      <c r="W396" s="139" t="s">
        <v>1553</v>
      </c>
    </row>
    <row r="397" spans="1:23">
      <c r="A397" s="149"/>
      <c r="B397" s="144" t="str">
        <f t="shared" si="52"/>
        <v/>
      </c>
      <c r="C397" s="149"/>
      <c r="D397" s="144" t="str">
        <f t="shared" si="53"/>
        <v/>
      </c>
      <c r="E397" s="183"/>
      <c r="F397" s="144" t="str">
        <f t="shared" si="54"/>
        <v/>
      </c>
      <c r="G397" s="182"/>
      <c r="H397" s="182"/>
      <c r="I397" s="182"/>
      <c r="K397" s="139" t="str">
        <f t="shared" si="50"/>
        <v/>
      </c>
      <c r="L397" s="139" t="str">
        <f t="shared" si="51"/>
        <v/>
      </c>
      <c r="V397" s="139" t="s">
        <v>1554</v>
      </c>
      <c r="W397" s="139" t="s">
        <v>1555</v>
      </c>
    </row>
    <row r="398" spans="1:23">
      <c r="A398" s="149"/>
      <c r="B398" s="144" t="str">
        <f t="shared" si="52"/>
        <v/>
      </c>
      <c r="C398" s="149"/>
      <c r="D398" s="144" t="str">
        <f t="shared" si="53"/>
        <v/>
      </c>
      <c r="E398" s="183"/>
      <c r="F398" s="144" t="str">
        <f t="shared" si="54"/>
        <v/>
      </c>
      <c r="G398" s="182"/>
      <c r="H398" s="182"/>
      <c r="I398" s="182"/>
      <c r="K398" s="139" t="str">
        <f t="shared" si="50"/>
        <v/>
      </c>
      <c r="L398" s="139" t="str">
        <f t="shared" si="51"/>
        <v/>
      </c>
      <c r="V398" s="139" t="s">
        <v>1556</v>
      </c>
      <c r="W398" s="139" t="s">
        <v>1557</v>
      </c>
    </row>
    <row r="399" spans="1:23">
      <c r="A399" s="149"/>
      <c r="B399" s="144" t="str">
        <f t="shared" si="52"/>
        <v/>
      </c>
      <c r="C399" s="149"/>
      <c r="D399" s="144" t="str">
        <f t="shared" si="53"/>
        <v/>
      </c>
      <c r="E399" s="183"/>
      <c r="F399" s="144" t="str">
        <f t="shared" si="54"/>
        <v/>
      </c>
      <c r="G399" s="182"/>
      <c r="H399" s="182"/>
      <c r="I399" s="182"/>
      <c r="K399" s="139" t="str">
        <f t="shared" si="50"/>
        <v/>
      </c>
      <c r="L399" s="139" t="str">
        <f t="shared" si="51"/>
        <v/>
      </c>
      <c r="V399" s="139" t="s">
        <v>1558</v>
      </c>
      <c r="W399" s="139" t="s">
        <v>1559</v>
      </c>
    </row>
    <row r="400" spans="1:23">
      <c r="A400" s="149"/>
      <c r="B400" s="144" t="str">
        <f t="shared" si="52"/>
        <v/>
      </c>
      <c r="C400" s="149"/>
      <c r="D400" s="144" t="str">
        <f t="shared" si="53"/>
        <v/>
      </c>
      <c r="E400" s="183"/>
      <c r="F400" s="144" t="str">
        <f t="shared" si="54"/>
        <v/>
      </c>
      <c r="G400" s="182"/>
      <c r="H400" s="182"/>
      <c r="I400" s="182"/>
      <c r="K400" s="139" t="str">
        <f t="shared" si="50"/>
        <v/>
      </c>
      <c r="L400" s="139" t="str">
        <f t="shared" si="51"/>
        <v/>
      </c>
      <c r="V400" s="139" t="s">
        <v>1560</v>
      </c>
      <c r="W400" s="139" t="s">
        <v>1561</v>
      </c>
    </row>
    <row r="401" spans="1:23">
      <c r="A401" s="149"/>
      <c r="B401" s="144" t="str">
        <f t="shared" si="52"/>
        <v/>
      </c>
      <c r="C401" s="149"/>
      <c r="D401" s="144" t="str">
        <f t="shared" si="53"/>
        <v/>
      </c>
      <c r="E401" s="183"/>
      <c r="F401" s="144" t="str">
        <f t="shared" si="54"/>
        <v/>
      </c>
      <c r="G401" s="182"/>
      <c r="H401" s="182"/>
      <c r="I401" s="182"/>
      <c r="K401" s="139" t="str">
        <f t="shared" si="50"/>
        <v/>
      </c>
      <c r="L401" s="139" t="str">
        <f t="shared" si="51"/>
        <v/>
      </c>
      <c r="V401" s="139" t="s">
        <v>1562</v>
      </c>
      <c r="W401" s="139" t="s">
        <v>1563</v>
      </c>
    </row>
    <row r="402" spans="1:23">
      <c r="A402" s="149"/>
      <c r="B402" s="144" t="str">
        <f t="shared" si="52"/>
        <v/>
      </c>
      <c r="C402" s="149"/>
      <c r="D402" s="144" t="str">
        <f t="shared" si="53"/>
        <v/>
      </c>
      <c r="E402" s="183"/>
      <c r="F402" s="144" t="str">
        <f t="shared" si="54"/>
        <v/>
      </c>
      <c r="G402" s="182"/>
      <c r="H402" s="182"/>
      <c r="I402" s="182"/>
      <c r="K402" s="139" t="str">
        <f t="shared" si="50"/>
        <v/>
      </c>
      <c r="L402" s="139" t="str">
        <f t="shared" si="51"/>
        <v/>
      </c>
      <c r="V402" s="139" t="s">
        <v>1564</v>
      </c>
      <c r="W402" s="139" t="s">
        <v>1565</v>
      </c>
    </row>
    <row r="403" spans="1:23">
      <c r="A403" s="149"/>
      <c r="B403" s="144" t="str">
        <f t="shared" si="52"/>
        <v/>
      </c>
      <c r="C403" s="149"/>
      <c r="D403" s="144" t="str">
        <f t="shared" si="53"/>
        <v/>
      </c>
      <c r="E403" s="183"/>
      <c r="F403" s="144" t="str">
        <f t="shared" si="54"/>
        <v/>
      </c>
      <c r="G403" s="182"/>
      <c r="H403" s="182"/>
      <c r="I403" s="182"/>
      <c r="K403" s="139" t="str">
        <f t="shared" si="50"/>
        <v/>
      </c>
      <c r="L403" s="139" t="str">
        <f t="shared" si="51"/>
        <v/>
      </c>
      <c r="V403" s="139" t="s">
        <v>1566</v>
      </c>
      <c r="W403" s="139" t="s">
        <v>1567</v>
      </c>
    </row>
    <row r="404" spans="1:23">
      <c r="A404" s="149"/>
      <c r="B404" s="144" t="str">
        <f t="shared" si="52"/>
        <v/>
      </c>
      <c r="C404" s="149"/>
      <c r="D404" s="144" t="str">
        <f t="shared" si="53"/>
        <v/>
      </c>
      <c r="E404" s="183"/>
      <c r="F404" s="144" t="str">
        <f t="shared" si="54"/>
        <v/>
      </c>
      <c r="G404" s="182"/>
      <c r="H404" s="182"/>
      <c r="I404" s="182"/>
      <c r="K404" s="139" t="str">
        <f t="shared" si="50"/>
        <v/>
      </c>
      <c r="L404" s="139" t="str">
        <f t="shared" si="51"/>
        <v/>
      </c>
      <c r="V404" s="139" t="s">
        <v>1568</v>
      </c>
      <c r="W404" s="139" t="s">
        <v>1569</v>
      </c>
    </row>
    <row r="405" spans="1:23">
      <c r="A405" s="149"/>
      <c r="B405" s="144" t="str">
        <f t="shared" si="52"/>
        <v/>
      </c>
      <c r="C405" s="149"/>
      <c r="D405" s="144" t="str">
        <f t="shared" si="53"/>
        <v/>
      </c>
      <c r="E405" s="183"/>
      <c r="F405" s="144" t="str">
        <f t="shared" si="54"/>
        <v/>
      </c>
      <c r="G405" s="182"/>
      <c r="H405" s="182"/>
      <c r="I405" s="182"/>
      <c r="K405" s="139" t="str">
        <f t="shared" si="50"/>
        <v/>
      </c>
      <c r="L405" s="139" t="str">
        <f t="shared" si="51"/>
        <v/>
      </c>
      <c r="V405" s="139" t="s">
        <v>1570</v>
      </c>
      <c r="W405" s="139" t="s">
        <v>1571</v>
      </c>
    </row>
    <row r="406" spans="1:23">
      <c r="A406" s="149"/>
      <c r="B406" s="144" t="str">
        <f t="shared" si="52"/>
        <v/>
      </c>
      <c r="C406" s="149"/>
      <c r="D406" s="144" t="str">
        <f t="shared" si="53"/>
        <v/>
      </c>
      <c r="E406" s="183"/>
      <c r="F406" s="144" t="str">
        <f t="shared" si="54"/>
        <v/>
      </c>
      <c r="G406" s="182"/>
      <c r="H406" s="182"/>
      <c r="I406" s="182"/>
      <c r="K406" s="139" t="str">
        <f t="shared" si="50"/>
        <v/>
      </c>
      <c r="L406" s="139" t="str">
        <f t="shared" si="51"/>
        <v/>
      </c>
      <c r="V406" s="139" t="s">
        <v>1572</v>
      </c>
      <c r="W406" s="139" t="s">
        <v>1573</v>
      </c>
    </row>
    <row r="407" spans="1:23">
      <c r="A407" s="149"/>
      <c r="B407" s="144" t="str">
        <f t="shared" si="52"/>
        <v/>
      </c>
      <c r="C407" s="149"/>
      <c r="D407" s="144" t="str">
        <f t="shared" si="53"/>
        <v/>
      </c>
      <c r="E407" s="183"/>
      <c r="F407" s="144" t="str">
        <f t="shared" si="54"/>
        <v/>
      </c>
      <c r="G407" s="182"/>
      <c r="H407" s="182"/>
      <c r="I407" s="182"/>
      <c r="K407" s="139" t="str">
        <f t="shared" si="50"/>
        <v/>
      </c>
      <c r="L407" s="139" t="str">
        <f t="shared" si="51"/>
        <v/>
      </c>
      <c r="V407" s="139" t="s">
        <v>2507</v>
      </c>
      <c r="W407" s="139" t="s">
        <v>2508</v>
      </c>
    </row>
    <row r="408" spans="1:23">
      <c r="A408" s="149"/>
      <c r="B408" s="144" t="str">
        <f t="shared" si="52"/>
        <v/>
      </c>
      <c r="C408" s="149"/>
      <c r="D408" s="144" t="str">
        <f t="shared" si="53"/>
        <v/>
      </c>
      <c r="E408" s="183"/>
      <c r="F408" s="144" t="str">
        <f t="shared" si="54"/>
        <v/>
      </c>
      <c r="G408" s="182"/>
      <c r="H408" s="182"/>
      <c r="I408" s="182"/>
      <c r="K408" s="139" t="str">
        <f t="shared" si="50"/>
        <v/>
      </c>
      <c r="L408" s="139" t="str">
        <f t="shared" si="51"/>
        <v/>
      </c>
      <c r="V408" s="139" t="s">
        <v>2509</v>
      </c>
      <c r="W408" s="139" t="s">
        <v>2510</v>
      </c>
    </row>
    <row r="409" spans="1:23">
      <c r="A409" s="149"/>
      <c r="B409" s="144" t="str">
        <f t="shared" si="52"/>
        <v/>
      </c>
      <c r="C409" s="149"/>
      <c r="D409" s="144" t="str">
        <f t="shared" si="53"/>
        <v/>
      </c>
      <c r="E409" s="183"/>
      <c r="F409" s="144" t="str">
        <f t="shared" si="54"/>
        <v/>
      </c>
      <c r="G409" s="182"/>
      <c r="H409" s="182"/>
      <c r="I409" s="182"/>
      <c r="K409" s="139" t="str">
        <f t="shared" ref="K409:K472" si="55">LEFT(C409,3)</f>
        <v/>
      </c>
      <c r="L409" s="139" t="str">
        <f t="shared" ref="L409:L472" si="56">LEFT(C409,2)</f>
        <v/>
      </c>
      <c r="V409" s="139" t="s">
        <v>2511</v>
      </c>
      <c r="W409" s="139" t="s">
        <v>2512</v>
      </c>
    </row>
    <row r="410" spans="1:23">
      <c r="A410" s="149"/>
      <c r="B410" s="144" t="str">
        <f t="shared" si="52"/>
        <v/>
      </c>
      <c r="C410" s="149"/>
      <c r="D410" s="144" t="str">
        <f t="shared" si="53"/>
        <v/>
      </c>
      <c r="E410" s="183"/>
      <c r="F410" s="144" t="str">
        <f t="shared" si="54"/>
        <v/>
      </c>
      <c r="G410" s="182"/>
      <c r="H410" s="182"/>
      <c r="I410" s="182"/>
      <c r="K410" s="139" t="str">
        <f t="shared" si="55"/>
        <v/>
      </c>
      <c r="L410" s="139" t="str">
        <f t="shared" si="56"/>
        <v/>
      </c>
      <c r="V410" s="139" t="s">
        <v>2513</v>
      </c>
      <c r="W410" s="139" t="s">
        <v>2514</v>
      </c>
    </row>
    <row r="411" spans="1:23">
      <c r="A411" s="149"/>
      <c r="B411" s="144" t="str">
        <f t="shared" si="52"/>
        <v/>
      </c>
      <c r="C411" s="149"/>
      <c r="D411" s="144" t="str">
        <f t="shared" si="53"/>
        <v/>
      </c>
      <c r="E411" s="183"/>
      <c r="F411" s="144" t="str">
        <f t="shared" si="54"/>
        <v/>
      </c>
      <c r="G411" s="182"/>
      <c r="H411" s="182"/>
      <c r="I411" s="182"/>
      <c r="K411" s="139" t="str">
        <f t="shared" si="55"/>
        <v/>
      </c>
      <c r="L411" s="139" t="str">
        <f t="shared" si="56"/>
        <v/>
      </c>
      <c r="V411" s="139" t="s">
        <v>2515</v>
      </c>
      <c r="W411" s="139" t="s">
        <v>2516</v>
      </c>
    </row>
    <row r="412" spans="1:23">
      <c r="A412" s="149"/>
      <c r="B412" s="144" t="str">
        <f t="shared" si="52"/>
        <v/>
      </c>
      <c r="C412" s="149"/>
      <c r="D412" s="144" t="str">
        <f t="shared" si="53"/>
        <v/>
      </c>
      <c r="E412" s="183"/>
      <c r="F412" s="144" t="str">
        <f t="shared" si="54"/>
        <v/>
      </c>
      <c r="G412" s="182"/>
      <c r="H412" s="182"/>
      <c r="I412" s="182"/>
      <c r="K412" s="139" t="str">
        <f t="shared" si="55"/>
        <v/>
      </c>
      <c r="L412" s="139" t="str">
        <f t="shared" si="56"/>
        <v/>
      </c>
      <c r="V412" s="139" t="s">
        <v>2517</v>
      </c>
      <c r="W412" s="139" t="s">
        <v>2518</v>
      </c>
    </row>
    <row r="413" spans="1:23">
      <c r="A413" s="149"/>
      <c r="B413" s="144" t="str">
        <f t="shared" si="52"/>
        <v/>
      </c>
      <c r="C413" s="149"/>
      <c r="D413" s="144" t="str">
        <f t="shared" si="53"/>
        <v/>
      </c>
      <c r="E413" s="183"/>
      <c r="F413" s="144" t="str">
        <f t="shared" si="54"/>
        <v/>
      </c>
      <c r="G413" s="182"/>
      <c r="H413" s="182"/>
      <c r="I413" s="182"/>
      <c r="K413" s="139" t="str">
        <f t="shared" si="55"/>
        <v/>
      </c>
      <c r="L413" s="139" t="str">
        <f t="shared" si="56"/>
        <v/>
      </c>
      <c r="V413" s="139" t="s">
        <v>2519</v>
      </c>
      <c r="W413" s="139" t="s">
        <v>2520</v>
      </c>
    </row>
    <row r="414" spans="1:23">
      <c r="A414" s="149"/>
      <c r="B414" s="144" t="str">
        <f t="shared" si="52"/>
        <v/>
      </c>
      <c r="C414" s="149"/>
      <c r="D414" s="144" t="str">
        <f t="shared" si="53"/>
        <v/>
      </c>
      <c r="E414" s="183"/>
      <c r="F414" s="144" t="str">
        <f t="shared" si="54"/>
        <v/>
      </c>
      <c r="G414" s="182"/>
      <c r="H414" s="182"/>
      <c r="I414" s="182"/>
      <c r="K414" s="139" t="str">
        <f t="shared" si="55"/>
        <v/>
      </c>
      <c r="L414" s="139" t="str">
        <f t="shared" si="56"/>
        <v/>
      </c>
      <c r="V414" s="139" t="s">
        <v>2521</v>
      </c>
      <c r="W414" s="139" t="s">
        <v>2522</v>
      </c>
    </row>
    <row r="415" spans="1:23">
      <c r="A415" s="149"/>
      <c r="B415" s="144" t="str">
        <f t="shared" si="52"/>
        <v/>
      </c>
      <c r="C415" s="149"/>
      <c r="D415" s="144" t="str">
        <f t="shared" si="53"/>
        <v/>
      </c>
      <c r="E415" s="183"/>
      <c r="F415" s="144" t="str">
        <f t="shared" si="54"/>
        <v/>
      </c>
      <c r="G415" s="182"/>
      <c r="H415" s="182"/>
      <c r="I415" s="182"/>
      <c r="K415" s="139" t="str">
        <f t="shared" si="55"/>
        <v/>
      </c>
      <c r="L415" s="139" t="str">
        <f t="shared" si="56"/>
        <v/>
      </c>
      <c r="V415" s="139" t="s">
        <v>2523</v>
      </c>
      <c r="W415" s="139" t="s">
        <v>2524</v>
      </c>
    </row>
    <row r="416" spans="1:23">
      <c r="A416" s="149"/>
      <c r="B416" s="144" t="str">
        <f t="shared" si="52"/>
        <v/>
      </c>
      <c r="C416" s="149"/>
      <c r="D416" s="144" t="str">
        <f t="shared" si="53"/>
        <v/>
      </c>
      <c r="E416" s="183"/>
      <c r="F416" s="144" t="str">
        <f t="shared" si="54"/>
        <v/>
      </c>
      <c r="G416" s="182"/>
      <c r="H416" s="182"/>
      <c r="I416" s="182"/>
      <c r="K416" s="139" t="str">
        <f t="shared" si="55"/>
        <v/>
      </c>
      <c r="L416" s="139" t="str">
        <f t="shared" si="56"/>
        <v/>
      </c>
      <c r="V416" s="139" t="s">
        <v>2525</v>
      </c>
      <c r="W416" s="139" t="s">
        <v>2526</v>
      </c>
    </row>
    <row r="417" spans="1:23">
      <c r="A417" s="149"/>
      <c r="B417" s="144" t="str">
        <f t="shared" si="52"/>
        <v/>
      </c>
      <c r="C417" s="149"/>
      <c r="D417" s="144" t="str">
        <f t="shared" si="53"/>
        <v/>
      </c>
      <c r="E417" s="183"/>
      <c r="F417" s="144" t="str">
        <f t="shared" si="54"/>
        <v/>
      </c>
      <c r="G417" s="182"/>
      <c r="H417" s="182"/>
      <c r="I417" s="182"/>
      <c r="K417" s="139" t="str">
        <f t="shared" si="55"/>
        <v/>
      </c>
      <c r="L417" s="139" t="str">
        <f t="shared" si="56"/>
        <v/>
      </c>
      <c r="V417" s="139" t="s">
        <v>2527</v>
      </c>
      <c r="W417" s="139" t="s">
        <v>2528</v>
      </c>
    </row>
    <row r="418" spans="1:23">
      <c r="A418" s="149"/>
      <c r="B418" s="144" t="str">
        <f t="shared" si="52"/>
        <v/>
      </c>
      <c r="C418" s="149"/>
      <c r="D418" s="144" t="str">
        <f t="shared" si="53"/>
        <v/>
      </c>
      <c r="E418" s="183"/>
      <c r="F418" s="144" t="str">
        <f t="shared" si="54"/>
        <v/>
      </c>
      <c r="G418" s="182"/>
      <c r="H418" s="182"/>
      <c r="I418" s="182"/>
      <c r="K418" s="139" t="str">
        <f t="shared" si="55"/>
        <v/>
      </c>
      <c r="L418" s="139" t="str">
        <f t="shared" si="56"/>
        <v/>
      </c>
      <c r="V418" s="139" t="s">
        <v>2529</v>
      </c>
      <c r="W418" s="139" t="s">
        <v>2530</v>
      </c>
    </row>
    <row r="419" spans="1:23">
      <c r="A419" s="149"/>
      <c r="B419" s="144" t="str">
        <f t="shared" si="52"/>
        <v/>
      </c>
      <c r="C419" s="149"/>
      <c r="D419" s="144" t="str">
        <f t="shared" si="53"/>
        <v/>
      </c>
      <c r="E419" s="183"/>
      <c r="F419" s="144" t="str">
        <f t="shared" si="54"/>
        <v/>
      </c>
      <c r="G419" s="182"/>
      <c r="H419" s="182"/>
      <c r="I419" s="182"/>
      <c r="K419" s="139" t="str">
        <f t="shared" si="55"/>
        <v/>
      </c>
      <c r="L419" s="139" t="str">
        <f t="shared" si="56"/>
        <v/>
      </c>
      <c r="V419" s="139" t="s">
        <v>2531</v>
      </c>
      <c r="W419" s="139" t="s">
        <v>2532</v>
      </c>
    </row>
    <row r="420" spans="1:23">
      <c r="A420" s="149"/>
      <c r="B420" s="144" t="str">
        <f t="shared" si="52"/>
        <v/>
      </c>
      <c r="C420" s="149"/>
      <c r="D420" s="144" t="str">
        <f t="shared" si="53"/>
        <v/>
      </c>
      <c r="E420" s="183"/>
      <c r="F420" s="144" t="str">
        <f t="shared" si="54"/>
        <v/>
      </c>
      <c r="G420" s="182"/>
      <c r="H420" s="182"/>
      <c r="I420" s="182"/>
      <c r="K420" s="139" t="str">
        <f t="shared" si="55"/>
        <v/>
      </c>
      <c r="L420" s="139" t="str">
        <f t="shared" si="56"/>
        <v/>
      </c>
      <c r="V420" s="139" t="s">
        <v>2533</v>
      </c>
      <c r="W420" s="139" t="s">
        <v>2534</v>
      </c>
    </row>
    <row r="421" spans="1:23">
      <c r="A421" s="149"/>
      <c r="B421" s="144" t="str">
        <f t="shared" si="52"/>
        <v/>
      </c>
      <c r="C421" s="149"/>
      <c r="D421" s="144" t="str">
        <f t="shared" si="53"/>
        <v/>
      </c>
      <c r="E421" s="183"/>
      <c r="F421" s="144" t="str">
        <f t="shared" si="54"/>
        <v/>
      </c>
      <c r="G421" s="182"/>
      <c r="H421" s="182"/>
      <c r="I421" s="182"/>
      <c r="K421" s="139" t="str">
        <f t="shared" si="55"/>
        <v/>
      </c>
      <c r="L421" s="139" t="str">
        <f t="shared" si="56"/>
        <v/>
      </c>
      <c r="V421" s="139" t="s">
        <v>2535</v>
      </c>
      <c r="W421" s="139" t="s">
        <v>2536</v>
      </c>
    </row>
    <row r="422" spans="1:23">
      <c r="A422" s="149"/>
      <c r="B422" s="144" t="str">
        <f t="shared" si="52"/>
        <v/>
      </c>
      <c r="C422" s="149"/>
      <c r="D422" s="144" t="str">
        <f t="shared" si="53"/>
        <v/>
      </c>
      <c r="E422" s="183"/>
      <c r="F422" s="144" t="str">
        <f t="shared" si="54"/>
        <v/>
      </c>
      <c r="G422" s="182"/>
      <c r="H422" s="182"/>
      <c r="I422" s="182"/>
      <c r="K422" s="139" t="str">
        <f t="shared" si="55"/>
        <v/>
      </c>
      <c r="L422" s="139" t="str">
        <f t="shared" si="56"/>
        <v/>
      </c>
      <c r="V422" s="139" t="s">
        <v>2537</v>
      </c>
      <c r="W422" s="139" t="s">
        <v>2538</v>
      </c>
    </row>
    <row r="423" spans="1:23">
      <c r="A423" s="149"/>
      <c r="B423" s="144" t="str">
        <f t="shared" ref="B423:B486" si="57">IFERROR(VLOOKUP(A423,$M$7:$N$37,2,FALSE),"")</f>
        <v/>
      </c>
      <c r="C423" s="149"/>
      <c r="D423" s="144" t="str">
        <f t="shared" si="53"/>
        <v/>
      </c>
      <c r="E423" s="183"/>
      <c r="F423" s="144" t="str">
        <f t="shared" si="54"/>
        <v/>
      </c>
      <c r="G423" s="182"/>
      <c r="H423" s="182"/>
      <c r="I423" s="182"/>
      <c r="K423" s="139" t="str">
        <f t="shared" si="55"/>
        <v/>
      </c>
      <c r="L423" s="139" t="str">
        <f t="shared" si="56"/>
        <v/>
      </c>
      <c r="V423" s="139" t="s">
        <v>2539</v>
      </c>
      <c r="W423" s="139" t="s">
        <v>2540</v>
      </c>
    </row>
    <row r="424" spans="1:23">
      <c r="A424" s="149"/>
      <c r="B424" s="144" t="str">
        <f t="shared" si="57"/>
        <v/>
      </c>
      <c r="C424" s="149"/>
      <c r="D424" s="144" t="str">
        <f t="shared" ref="D424:D487" si="58">IFERROR(VLOOKUP(C424,$P$6:$R$214,2,FALSE),"")</f>
        <v/>
      </c>
      <c r="E424" s="183"/>
      <c r="F424" s="144" t="str">
        <f t="shared" ref="F424:F487" si="59">IFERROR(VLOOKUP(E424,$V$7:$W$1103,2,FALSE),"")</f>
        <v/>
      </c>
      <c r="G424" s="182"/>
      <c r="H424" s="182"/>
      <c r="I424" s="182"/>
      <c r="K424" s="139" t="str">
        <f t="shared" si="55"/>
        <v/>
      </c>
      <c r="L424" s="139" t="str">
        <f t="shared" si="56"/>
        <v/>
      </c>
      <c r="V424" s="139" t="s">
        <v>2541</v>
      </c>
      <c r="W424" s="139" t="s">
        <v>2542</v>
      </c>
    </row>
    <row r="425" spans="1:23">
      <c r="A425" s="149"/>
      <c r="B425" s="144" t="str">
        <f t="shared" si="57"/>
        <v/>
      </c>
      <c r="C425" s="149"/>
      <c r="D425" s="144" t="str">
        <f t="shared" si="58"/>
        <v/>
      </c>
      <c r="E425" s="183"/>
      <c r="F425" s="144" t="str">
        <f t="shared" si="59"/>
        <v/>
      </c>
      <c r="G425" s="182"/>
      <c r="H425" s="182"/>
      <c r="I425" s="182"/>
      <c r="K425" s="139" t="str">
        <f t="shared" si="55"/>
        <v/>
      </c>
      <c r="L425" s="139" t="str">
        <f t="shared" si="56"/>
        <v/>
      </c>
      <c r="V425" s="139" t="s">
        <v>2543</v>
      </c>
      <c r="W425" s="139" t="s">
        <v>2544</v>
      </c>
    </row>
    <row r="426" spans="1:23">
      <c r="A426" s="149"/>
      <c r="B426" s="144" t="str">
        <f t="shared" si="57"/>
        <v/>
      </c>
      <c r="C426" s="149"/>
      <c r="D426" s="144" t="str">
        <f t="shared" si="58"/>
        <v/>
      </c>
      <c r="E426" s="183"/>
      <c r="F426" s="144" t="str">
        <f t="shared" si="59"/>
        <v/>
      </c>
      <c r="G426" s="182"/>
      <c r="H426" s="182"/>
      <c r="I426" s="182"/>
      <c r="K426" s="139" t="str">
        <f t="shared" si="55"/>
        <v/>
      </c>
      <c r="L426" s="139" t="str">
        <f t="shared" si="56"/>
        <v/>
      </c>
      <c r="V426" s="139" t="s">
        <v>2545</v>
      </c>
      <c r="W426" s="139" t="s">
        <v>2546</v>
      </c>
    </row>
    <row r="427" spans="1:23">
      <c r="A427" s="149"/>
      <c r="B427" s="144" t="str">
        <f t="shared" si="57"/>
        <v/>
      </c>
      <c r="C427" s="149"/>
      <c r="D427" s="144" t="str">
        <f t="shared" si="58"/>
        <v/>
      </c>
      <c r="E427" s="183"/>
      <c r="F427" s="144" t="str">
        <f t="shared" si="59"/>
        <v/>
      </c>
      <c r="G427" s="182"/>
      <c r="H427" s="182"/>
      <c r="I427" s="182"/>
      <c r="K427" s="139" t="str">
        <f t="shared" si="55"/>
        <v/>
      </c>
      <c r="L427" s="139" t="str">
        <f t="shared" si="56"/>
        <v/>
      </c>
      <c r="V427" s="139" t="s">
        <v>2547</v>
      </c>
      <c r="W427" s="139" t="s">
        <v>2548</v>
      </c>
    </row>
    <row r="428" spans="1:23">
      <c r="A428" s="149"/>
      <c r="B428" s="144" t="str">
        <f t="shared" si="57"/>
        <v/>
      </c>
      <c r="C428" s="149"/>
      <c r="D428" s="144" t="str">
        <f t="shared" si="58"/>
        <v/>
      </c>
      <c r="E428" s="183"/>
      <c r="F428" s="144" t="str">
        <f t="shared" si="59"/>
        <v/>
      </c>
      <c r="G428" s="182"/>
      <c r="H428" s="182"/>
      <c r="I428" s="182"/>
      <c r="K428" s="139" t="str">
        <f t="shared" si="55"/>
        <v/>
      </c>
      <c r="L428" s="139" t="str">
        <f t="shared" si="56"/>
        <v/>
      </c>
      <c r="V428" s="139" t="s">
        <v>2549</v>
      </c>
      <c r="W428" s="139" t="s">
        <v>2550</v>
      </c>
    </row>
    <row r="429" spans="1:23">
      <c r="A429" s="149"/>
      <c r="B429" s="144" t="str">
        <f t="shared" si="57"/>
        <v/>
      </c>
      <c r="C429" s="149"/>
      <c r="D429" s="144" t="str">
        <f t="shared" si="58"/>
        <v/>
      </c>
      <c r="E429" s="183"/>
      <c r="F429" s="144" t="str">
        <f t="shared" si="59"/>
        <v/>
      </c>
      <c r="G429" s="182"/>
      <c r="H429" s="182"/>
      <c r="I429" s="182"/>
      <c r="K429" s="139" t="str">
        <f t="shared" si="55"/>
        <v/>
      </c>
      <c r="L429" s="139" t="str">
        <f t="shared" si="56"/>
        <v/>
      </c>
      <c r="V429" s="139" t="s">
        <v>2551</v>
      </c>
      <c r="W429" s="139" t="s">
        <v>2552</v>
      </c>
    </row>
    <row r="430" spans="1:23">
      <c r="A430" s="149"/>
      <c r="B430" s="144" t="str">
        <f t="shared" si="57"/>
        <v/>
      </c>
      <c r="C430" s="149"/>
      <c r="D430" s="144" t="str">
        <f t="shared" si="58"/>
        <v/>
      </c>
      <c r="E430" s="183"/>
      <c r="F430" s="144" t="str">
        <f t="shared" si="59"/>
        <v/>
      </c>
      <c r="G430" s="182"/>
      <c r="H430" s="182"/>
      <c r="I430" s="182"/>
      <c r="K430" s="139" t="str">
        <f t="shared" si="55"/>
        <v/>
      </c>
      <c r="L430" s="139" t="str">
        <f t="shared" si="56"/>
        <v/>
      </c>
      <c r="V430" s="139" t="s">
        <v>2553</v>
      </c>
      <c r="W430" s="139" t="s">
        <v>2554</v>
      </c>
    </row>
    <row r="431" spans="1:23">
      <c r="A431" s="149"/>
      <c r="B431" s="144" t="str">
        <f t="shared" si="57"/>
        <v/>
      </c>
      <c r="C431" s="149"/>
      <c r="D431" s="144" t="str">
        <f t="shared" si="58"/>
        <v/>
      </c>
      <c r="E431" s="183"/>
      <c r="F431" s="144" t="str">
        <f t="shared" si="59"/>
        <v/>
      </c>
      <c r="G431" s="182"/>
      <c r="H431" s="182"/>
      <c r="I431" s="182"/>
      <c r="K431" s="139" t="str">
        <f t="shared" si="55"/>
        <v/>
      </c>
      <c r="L431" s="139" t="str">
        <f t="shared" si="56"/>
        <v/>
      </c>
      <c r="V431" s="139" t="s">
        <v>2555</v>
      </c>
      <c r="W431" s="139" t="s">
        <v>2556</v>
      </c>
    </row>
    <row r="432" spans="1:23">
      <c r="A432" s="149"/>
      <c r="B432" s="144" t="str">
        <f t="shared" si="57"/>
        <v/>
      </c>
      <c r="C432" s="149"/>
      <c r="D432" s="144" t="str">
        <f t="shared" si="58"/>
        <v/>
      </c>
      <c r="E432" s="183"/>
      <c r="F432" s="144" t="str">
        <f t="shared" si="59"/>
        <v/>
      </c>
      <c r="G432" s="182"/>
      <c r="H432" s="182"/>
      <c r="I432" s="182"/>
      <c r="K432" s="139" t="str">
        <f t="shared" si="55"/>
        <v/>
      </c>
      <c r="L432" s="139" t="str">
        <f t="shared" si="56"/>
        <v/>
      </c>
      <c r="V432" s="139" t="s">
        <v>2557</v>
      </c>
      <c r="W432" s="139" t="s">
        <v>2558</v>
      </c>
    </row>
    <row r="433" spans="1:23">
      <c r="A433" s="149"/>
      <c r="B433" s="144" t="str">
        <f t="shared" si="57"/>
        <v/>
      </c>
      <c r="C433" s="149"/>
      <c r="D433" s="144" t="str">
        <f t="shared" si="58"/>
        <v/>
      </c>
      <c r="E433" s="183"/>
      <c r="F433" s="144" t="str">
        <f t="shared" si="59"/>
        <v/>
      </c>
      <c r="G433" s="182"/>
      <c r="H433" s="182"/>
      <c r="I433" s="182"/>
      <c r="K433" s="139" t="str">
        <f t="shared" si="55"/>
        <v/>
      </c>
      <c r="L433" s="139" t="str">
        <f t="shared" si="56"/>
        <v/>
      </c>
      <c r="V433" s="139" t="s">
        <v>2559</v>
      </c>
      <c r="W433" s="139" t="s">
        <v>2560</v>
      </c>
    </row>
    <row r="434" spans="1:23">
      <c r="A434" s="149"/>
      <c r="B434" s="144" t="str">
        <f t="shared" si="57"/>
        <v/>
      </c>
      <c r="C434" s="149"/>
      <c r="D434" s="144" t="str">
        <f t="shared" si="58"/>
        <v/>
      </c>
      <c r="E434" s="183"/>
      <c r="F434" s="144" t="str">
        <f t="shared" si="59"/>
        <v/>
      </c>
      <c r="G434" s="182"/>
      <c r="H434" s="182"/>
      <c r="I434" s="182"/>
      <c r="K434" s="139" t="str">
        <f t="shared" si="55"/>
        <v/>
      </c>
      <c r="L434" s="139" t="str">
        <f t="shared" si="56"/>
        <v/>
      </c>
      <c r="V434" s="139" t="s">
        <v>2561</v>
      </c>
      <c r="W434" s="139" t="s">
        <v>2562</v>
      </c>
    </row>
    <row r="435" spans="1:23">
      <c r="A435" s="149"/>
      <c r="B435" s="144" t="str">
        <f t="shared" si="57"/>
        <v/>
      </c>
      <c r="C435" s="149"/>
      <c r="D435" s="144" t="str">
        <f t="shared" si="58"/>
        <v/>
      </c>
      <c r="E435" s="183"/>
      <c r="F435" s="144" t="str">
        <f t="shared" si="59"/>
        <v/>
      </c>
      <c r="G435" s="182"/>
      <c r="H435" s="182"/>
      <c r="I435" s="182"/>
      <c r="K435" s="139" t="str">
        <f t="shared" si="55"/>
        <v/>
      </c>
      <c r="L435" s="139" t="str">
        <f t="shared" si="56"/>
        <v/>
      </c>
      <c r="V435" s="139" t="s">
        <v>2563</v>
      </c>
      <c r="W435" s="139" t="s">
        <v>2564</v>
      </c>
    </row>
    <row r="436" spans="1:23">
      <c r="A436" s="149"/>
      <c r="B436" s="144" t="str">
        <f t="shared" si="57"/>
        <v/>
      </c>
      <c r="C436" s="149"/>
      <c r="D436" s="144" t="str">
        <f t="shared" si="58"/>
        <v/>
      </c>
      <c r="E436" s="183"/>
      <c r="F436" s="144" t="str">
        <f t="shared" si="59"/>
        <v/>
      </c>
      <c r="G436" s="182"/>
      <c r="H436" s="182"/>
      <c r="I436" s="182"/>
      <c r="K436" s="139" t="str">
        <f t="shared" si="55"/>
        <v/>
      </c>
      <c r="L436" s="139" t="str">
        <f t="shared" si="56"/>
        <v/>
      </c>
      <c r="V436" s="139" t="s">
        <v>2565</v>
      </c>
      <c r="W436" s="139" t="s">
        <v>2566</v>
      </c>
    </row>
    <row r="437" spans="1:23">
      <c r="A437" s="149"/>
      <c r="B437" s="144" t="str">
        <f t="shared" si="57"/>
        <v/>
      </c>
      <c r="C437" s="149"/>
      <c r="D437" s="144" t="str">
        <f t="shared" si="58"/>
        <v/>
      </c>
      <c r="E437" s="183"/>
      <c r="F437" s="144" t="str">
        <f t="shared" si="59"/>
        <v/>
      </c>
      <c r="G437" s="182"/>
      <c r="H437" s="182"/>
      <c r="I437" s="182"/>
      <c r="K437" s="139" t="str">
        <f t="shared" si="55"/>
        <v/>
      </c>
      <c r="L437" s="139" t="str">
        <f t="shared" si="56"/>
        <v/>
      </c>
      <c r="V437" s="139" t="s">
        <v>2567</v>
      </c>
      <c r="W437" s="139" t="s">
        <v>992</v>
      </c>
    </row>
    <row r="438" spans="1:23">
      <c r="A438" s="149"/>
      <c r="B438" s="144" t="str">
        <f t="shared" si="57"/>
        <v/>
      </c>
      <c r="C438" s="149"/>
      <c r="D438" s="144" t="str">
        <f t="shared" si="58"/>
        <v/>
      </c>
      <c r="E438" s="183"/>
      <c r="F438" s="144" t="str">
        <f t="shared" si="59"/>
        <v/>
      </c>
      <c r="G438" s="182"/>
      <c r="H438" s="182"/>
      <c r="I438" s="182"/>
      <c r="K438" s="139" t="str">
        <f t="shared" si="55"/>
        <v/>
      </c>
      <c r="L438" s="139" t="str">
        <f t="shared" si="56"/>
        <v/>
      </c>
      <c r="V438" s="139" t="s">
        <v>2568</v>
      </c>
      <c r="W438" s="139" t="s">
        <v>1285</v>
      </c>
    </row>
    <row r="439" spans="1:23">
      <c r="A439" s="149"/>
      <c r="B439" s="144" t="str">
        <f t="shared" si="57"/>
        <v/>
      </c>
      <c r="C439" s="149"/>
      <c r="D439" s="144" t="str">
        <f t="shared" si="58"/>
        <v/>
      </c>
      <c r="E439" s="183"/>
      <c r="F439" s="144" t="str">
        <f t="shared" si="59"/>
        <v/>
      </c>
      <c r="G439" s="182"/>
      <c r="H439" s="182"/>
      <c r="I439" s="182"/>
      <c r="K439" s="139" t="str">
        <f t="shared" si="55"/>
        <v/>
      </c>
      <c r="L439" s="139" t="str">
        <f t="shared" si="56"/>
        <v/>
      </c>
      <c r="V439" s="139" t="s">
        <v>2569</v>
      </c>
      <c r="W439" s="139" t="s">
        <v>2570</v>
      </c>
    </row>
    <row r="440" spans="1:23">
      <c r="A440" s="149"/>
      <c r="B440" s="144" t="str">
        <f t="shared" si="57"/>
        <v/>
      </c>
      <c r="C440" s="149"/>
      <c r="D440" s="144" t="str">
        <f t="shared" si="58"/>
        <v/>
      </c>
      <c r="E440" s="183"/>
      <c r="F440" s="144" t="str">
        <f t="shared" si="59"/>
        <v/>
      </c>
      <c r="G440" s="182"/>
      <c r="H440" s="182"/>
      <c r="I440" s="182"/>
      <c r="K440" s="139" t="str">
        <f t="shared" si="55"/>
        <v/>
      </c>
      <c r="L440" s="139" t="str">
        <f t="shared" si="56"/>
        <v/>
      </c>
      <c r="V440" s="139" t="s">
        <v>2571</v>
      </c>
      <c r="W440" s="139" t="s">
        <v>2572</v>
      </c>
    </row>
    <row r="441" spans="1:23">
      <c r="A441" s="149"/>
      <c r="B441" s="144" t="str">
        <f t="shared" si="57"/>
        <v/>
      </c>
      <c r="C441" s="149"/>
      <c r="D441" s="144" t="str">
        <f t="shared" si="58"/>
        <v/>
      </c>
      <c r="E441" s="183"/>
      <c r="F441" s="144" t="str">
        <f t="shared" si="59"/>
        <v/>
      </c>
      <c r="G441" s="182"/>
      <c r="H441" s="182"/>
      <c r="I441" s="182"/>
      <c r="K441" s="139" t="str">
        <f t="shared" si="55"/>
        <v/>
      </c>
      <c r="L441" s="139" t="str">
        <f t="shared" si="56"/>
        <v/>
      </c>
      <c r="V441" s="139" t="s">
        <v>2573</v>
      </c>
      <c r="W441" s="139" t="s">
        <v>2574</v>
      </c>
    </row>
    <row r="442" spans="1:23">
      <c r="A442" s="149"/>
      <c r="B442" s="144" t="str">
        <f t="shared" si="57"/>
        <v/>
      </c>
      <c r="C442" s="149"/>
      <c r="D442" s="144" t="str">
        <f t="shared" si="58"/>
        <v/>
      </c>
      <c r="E442" s="183"/>
      <c r="F442" s="144" t="str">
        <f t="shared" si="59"/>
        <v/>
      </c>
      <c r="G442" s="182"/>
      <c r="H442" s="182"/>
      <c r="I442" s="182"/>
      <c r="K442" s="139" t="str">
        <f t="shared" si="55"/>
        <v/>
      </c>
      <c r="L442" s="139" t="str">
        <f t="shared" si="56"/>
        <v/>
      </c>
      <c r="V442" s="139" t="s">
        <v>2575</v>
      </c>
      <c r="W442" s="139" t="s">
        <v>2576</v>
      </c>
    </row>
    <row r="443" spans="1:23">
      <c r="A443" s="149"/>
      <c r="B443" s="144" t="str">
        <f t="shared" si="57"/>
        <v/>
      </c>
      <c r="C443" s="149"/>
      <c r="D443" s="144" t="str">
        <f t="shared" si="58"/>
        <v/>
      </c>
      <c r="E443" s="183"/>
      <c r="F443" s="144" t="str">
        <f t="shared" si="59"/>
        <v/>
      </c>
      <c r="G443" s="182"/>
      <c r="H443" s="182"/>
      <c r="I443" s="182"/>
      <c r="K443" s="139" t="str">
        <f t="shared" si="55"/>
        <v/>
      </c>
      <c r="L443" s="139" t="str">
        <f t="shared" si="56"/>
        <v/>
      </c>
      <c r="V443" s="139" t="s">
        <v>2577</v>
      </c>
      <c r="W443" s="139" t="s">
        <v>2578</v>
      </c>
    </row>
    <row r="444" spans="1:23">
      <c r="A444" s="149"/>
      <c r="B444" s="144" t="str">
        <f t="shared" si="57"/>
        <v/>
      </c>
      <c r="C444" s="149"/>
      <c r="D444" s="144" t="str">
        <f t="shared" si="58"/>
        <v/>
      </c>
      <c r="E444" s="183"/>
      <c r="F444" s="144" t="str">
        <f t="shared" si="59"/>
        <v/>
      </c>
      <c r="G444" s="182"/>
      <c r="H444" s="182"/>
      <c r="I444" s="182"/>
      <c r="K444" s="139" t="str">
        <f t="shared" si="55"/>
        <v/>
      </c>
      <c r="L444" s="139" t="str">
        <f t="shared" si="56"/>
        <v/>
      </c>
      <c r="V444" s="139" t="s">
        <v>2579</v>
      </c>
      <c r="W444" s="139" t="s">
        <v>2580</v>
      </c>
    </row>
    <row r="445" spans="1:23">
      <c r="A445" s="149"/>
      <c r="B445" s="144" t="str">
        <f t="shared" si="57"/>
        <v/>
      </c>
      <c r="C445" s="149"/>
      <c r="D445" s="144" t="str">
        <f t="shared" si="58"/>
        <v/>
      </c>
      <c r="E445" s="183"/>
      <c r="F445" s="144" t="str">
        <f t="shared" si="59"/>
        <v/>
      </c>
      <c r="G445" s="182"/>
      <c r="H445" s="182"/>
      <c r="I445" s="182"/>
      <c r="K445" s="139" t="str">
        <f t="shared" si="55"/>
        <v/>
      </c>
      <c r="L445" s="139" t="str">
        <f t="shared" si="56"/>
        <v/>
      </c>
      <c r="V445" s="139" t="s">
        <v>2581</v>
      </c>
      <c r="W445" s="139" t="s">
        <v>2582</v>
      </c>
    </row>
    <row r="446" spans="1:23">
      <c r="A446" s="149"/>
      <c r="B446" s="144" t="str">
        <f t="shared" si="57"/>
        <v/>
      </c>
      <c r="C446" s="149"/>
      <c r="D446" s="144" t="str">
        <f t="shared" si="58"/>
        <v/>
      </c>
      <c r="E446" s="183"/>
      <c r="F446" s="144" t="str">
        <f t="shared" si="59"/>
        <v/>
      </c>
      <c r="G446" s="182"/>
      <c r="H446" s="182"/>
      <c r="I446" s="182"/>
      <c r="K446" s="139" t="str">
        <f t="shared" si="55"/>
        <v/>
      </c>
      <c r="L446" s="139" t="str">
        <f t="shared" si="56"/>
        <v/>
      </c>
      <c r="V446" s="139" t="s">
        <v>2583</v>
      </c>
      <c r="W446" s="139" t="s">
        <v>2584</v>
      </c>
    </row>
    <row r="447" spans="1:23">
      <c r="A447" s="149"/>
      <c r="B447" s="144" t="str">
        <f t="shared" si="57"/>
        <v/>
      </c>
      <c r="C447" s="149"/>
      <c r="D447" s="144" t="str">
        <f t="shared" si="58"/>
        <v/>
      </c>
      <c r="E447" s="183"/>
      <c r="F447" s="144" t="str">
        <f t="shared" si="59"/>
        <v/>
      </c>
      <c r="G447" s="182"/>
      <c r="H447" s="182"/>
      <c r="I447" s="182"/>
      <c r="K447" s="139" t="str">
        <f t="shared" si="55"/>
        <v/>
      </c>
      <c r="L447" s="139" t="str">
        <f t="shared" si="56"/>
        <v/>
      </c>
      <c r="V447" s="139" t="s">
        <v>2585</v>
      </c>
      <c r="W447" s="139" t="s">
        <v>2586</v>
      </c>
    </row>
    <row r="448" spans="1:23">
      <c r="A448" s="149"/>
      <c r="B448" s="144" t="str">
        <f t="shared" si="57"/>
        <v/>
      </c>
      <c r="C448" s="149"/>
      <c r="D448" s="144" t="str">
        <f t="shared" si="58"/>
        <v/>
      </c>
      <c r="E448" s="183"/>
      <c r="F448" s="144" t="str">
        <f t="shared" si="59"/>
        <v/>
      </c>
      <c r="G448" s="182"/>
      <c r="H448" s="182"/>
      <c r="I448" s="182"/>
      <c r="K448" s="139" t="str">
        <f t="shared" si="55"/>
        <v/>
      </c>
      <c r="L448" s="139" t="str">
        <f t="shared" si="56"/>
        <v/>
      </c>
      <c r="V448" s="139" t="s">
        <v>2587</v>
      </c>
      <c r="W448" s="139" t="s">
        <v>2588</v>
      </c>
    </row>
    <row r="449" spans="1:23">
      <c r="A449" s="149"/>
      <c r="B449" s="144" t="str">
        <f t="shared" si="57"/>
        <v/>
      </c>
      <c r="C449" s="149"/>
      <c r="D449" s="144" t="str">
        <f t="shared" si="58"/>
        <v/>
      </c>
      <c r="E449" s="183"/>
      <c r="F449" s="144" t="str">
        <f t="shared" si="59"/>
        <v/>
      </c>
      <c r="G449" s="182"/>
      <c r="H449" s="182"/>
      <c r="I449" s="182"/>
      <c r="K449" s="139" t="str">
        <f t="shared" si="55"/>
        <v/>
      </c>
      <c r="L449" s="139" t="str">
        <f t="shared" si="56"/>
        <v/>
      </c>
      <c r="V449" s="139" t="s">
        <v>2589</v>
      </c>
      <c r="W449" s="139" t="s">
        <v>2590</v>
      </c>
    </row>
    <row r="450" spans="1:23">
      <c r="A450" s="149"/>
      <c r="B450" s="144" t="str">
        <f t="shared" si="57"/>
        <v/>
      </c>
      <c r="C450" s="149"/>
      <c r="D450" s="144" t="str">
        <f t="shared" si="58"/>
        <v/>
      </c>
      <c r="E450" s="183"/>
      <c r="F450" s="144" t="str">
        <f t="shared" si="59"/>
        <v/>
      </c>
      <c r="G450" s="182"/>
      <c r="H450" s="182"/>
      <c r="I450" s="182"/>
      <c r="K450" s="139" t="str">
        <f t="shared" si="55"/>
        <v/>
      </c>
      <c r="L450" s="139" t="str">
        <f t="shared" si="56"/>
        <v/>
      </c>
      <c r="V450" s="139" t="s">
        <v>2591</v>
      </c>
      <c r="W450" s="139" t="s">
        <v>2592</v>
      </c>
    </row>
    <row r="451" spans="1:23">
      <c r="A451" s="149"/>
      <c r="B451" s="144" t="str">
        <f t="shared" si="57"/>
        <v/>
      </c>
      <c r="C451" s="149"/>
      <c r="D451" s="144" t="str">
        <f t="shared" si="58"/>
        <v/>
      </c>
      <c r="E451" s="183"/>
      <c r="F451" s="144" t="str">
        <f t="shared" si="59"/>
        <v/>
      </c>
      <c r="G451" s="182"/>
      <c r="H451" s="182"/>
      <c r="I451" s="182"/>
      <c r="K451" s="139" t="str">
        <f t="shared" si="55"/>
        <v/>
      </c>
      <c r="L451" s="139" t="str">
        <f t="shared" si="56"/>
        <v/>
      </c>
      <c r="V451" s="139" t="s">
        <v>907</v>
      </c>
      <c r="W451" s="139" t="s">
        <v>908</v>
      </c>
    </row>
    <row r="452" spans="1:23">
      <c r="A452" s="149"/>
      <c r="B452" s="144" t="str">
        <f t="shared" si="57"/>
        <v/>
      </c>
      <c r="C452" s="149"/>
      <c r="D452" s="144" t="str">
        <f t="shared" si="58"/>
        <v/>
      </c>
      <c r="E452" s="183"/>
      <c r="F452" s="144" t="str">
        <f t="shared" si="59"/>
        <v/>
      </c>
      <c r="G452" s="182"/>
      <c r="H452" s="182"/>
      <c r="I452" s="182"/>
      <c r="K452" s="139" t="str">
        <f t="shared" si="55"/>
        <v/>
      </c>
      <c r="L452" s="139" t="str">
        <f t="shared" si="56"/>
        <v/>
      </c>
      <c r="V452" s="139" t="s">
        <v>909</v>
      </c>
      <c r="W452" s="139" t="s">
        <v>910</v>
      </c>
    </row>
    <row r="453" spans="1:23">
      <c r="A453" s="149"/>
      <c r="B453" s="144" t="str">
        <f t="shared" si="57"/>
        <v/>
      </c>
      <c r="C453" s="149"/>
      <c r="D453" s="144" t="str">
        <f t="shared" si="58"/>
        <v/>
      </c>
      <c r="E453" s="183"/>
      <c r="F453" s="144" t="str">
        <f t="shared" si="59"/>
        <v/>
      </c>
      <c r="G453" s="182"/>
      <c r="H453" s="182"/>
      <c r="I453" s="182"/>
      <c r="K453" s="139" t="str">
        <f t="shared" si="55"/>
        <v/>
      </c>
      <c r="L453" s="139" t="str">
        <f t="shared" si="56"/>
        <v/>
      </c>
      <c r="V453" s="139" t="s">
        <v>911</v>
      </c>
      <c r="W453" s="139" t="s">
        <v>912</v>
      </c>
    </row>
    <row r="454" spans="1:23">
      <c r="A454" s="149"/>
      <c r="B454" s="144" t="str">
        <f t="shared" si="57"/>
        <v/>
      </c>
      <c r="C454" s="149"/>
      <c r="D454" s="144" t="str">
        <f t="shared" si="58"/>
        <v/>
      </c>
      <c r="E454" s="183"/>
      <c r="F454" s="144" t="str">
        <f t="shared" si="59"/>
        <v/>
      </c>
      <c r="G454" s="182"/>
      <c r="H454" s="182"/>
      <c r="I454" s="182"/>
      <c r="K454" s="139" t="str">
        <f t="shared" si="55"/>
        <v/>
      </c>
      <c r="L454" s="139" t="str">
        <f t="shared" si="56"/>
        <v/>
      </c>
      <c r="V454" s="139" t="s">
        <v>913</v>
      </c>
      <c r="W454" s="139" t="s">
        <v>914</v>
      </c>
    </row>
    <row r="455" spans="1:23">
      <c r="A455" s="149"/>
      <c r="B455" s="144" t="str">
        <f t="shared" si="57"/>
        <v/>
      </c>
      <c r="C455" s="149"/>
      <c r="D455" s="144" t="str">
        <f t="shared" si="58"/>
        <v/>
      </c>
      <c r="E455" s="183"/>
      <c r="F455" s="144" t="str">
        <f t="shared" si="59"/>
        <v/>
      </c>
      <c r="G455" s="182"/>
      <c r="H455" s="182"/>
      <c r="I455" s="182"/>
      <c r="K455" s="139" t="str">
        <f t="shared" si="55"/>
        <v/>
      </c>
      <c r="L455" s="139" t="str">
        <f t="shared" si="56"/>
        <v/>
      </c>
      <c r="V455" s="139" t="s">
        <v>915</v>
      </c>
      <c r="W455" s="139" t="s">
        <v>916</v>
      </c>
    </row>
    <row r="456" spans="1:23">
      <c r="A456" s="149"/>
      <c r="B456" s="144" t="str">
        <f t="shared" si="57"/>
        <v/>
      </c>
      <c r="C456" s="149"/>
      <c r="D456" s="144" t="str">
        <f t="shared" si="58"/>
        <v/>
      </c>
      <c r="E456" s="183"/>
      <c r="F456" s="144" t="str">
        <f t="shared" si="59"/>
        <v/>
      </c>
      <c r="G456" s="182"/>
      <c r="H456" s="182"/>
      <c r="I456" s="182"/>
      <c r="K456" s="139" t="str">
        <f t="shared" si="55"/>
        <v/>
      </c>
      <c r="L456" s="139" t="str">
        <f t="shared" si="56"/>
        <v/>
      </c>
      <c r="V456" s="139" t="s">
        <v>917</v>
      </c>
      <c r="W456" s="139" t="s">
        <v>918</v>
      </c>
    </row>
    <row r="457" spans="1:23">
      <c r="A457" s="149"/>
      <c r="B457" s="144" t="str">
        <f t="shared" si="57"/>
        <v/>
      </c>
      <c r="C457" s="149"/>
      <c r="D457" s="144" t="str">
        <f t="shared" si="58"/>
        <v/>
      </c>
      <c r="E457" s="183"/>
      <c r="F457" s="144" t="str">
        <f t="shared" si="59"/>
        <v/>
      </c>
      <c r="G457" s="182"/>
      <c r="H457" s="182"/>
      <c r="I457" s="182"/>
      <c r="K457" s="139" t="str">
        <f t="shared" si="55"/>
        <v/>
      </c>
      <c r="L457" s="139" t="str">
        <f t="shared" si="56"/>
        <v/>
      </c>
      <c r="V457" s="139" t="s">
        <v>919</v>
      </c>
      <c r="W457" s="139" t="s">
        <v>920</v>
      </c>
    </row>
    <row r="458" spans="1:23">
      <c r="A458" s="149"/>
      <c r="B458" s="144" t="str">
        <f t="shared" si="57"/>
        <v/>
      </c>
      <c r="C458" s="149"/>
      <c r="D458" s="144" t="str">
        <f t="shared" si="58"/>
        <v/>
      </c>
      <c r="E458" s="183"/>
      <c r="F458" s="144" t="str">
        <f t="shared" si="59"/>
        <v/>
      </c>
      <c r="G458" s="182"/>
      <c r="H458" s="182"/>
      <c r="I458" s="182"/>
      <c r="K458" s="139" t="str">
        <f t="shared" si="55"/>
        <v/>
      </c>
      <c r="L458" s="139" t="str">
        <f t="shared" si="56"/>
        <v/>
      </c>
      <c r="V458" s="139" t="s">
        <v>921</v>
      </c>
      <c r="W458" s="139" t="s">
        <v>922</v>
      </c>
    </row>
    <row r="459" spans="1:23">
      <c r="A459" s="149"/>
      <c r="B459" s="144" t="str">
        <f t="shared" si="57"/>
        <v/>
      </c>
      <c r="C459" s="149"/>
      <c r="D459" s="144" t="str">
        <f t="shared" si="58"/>
        <v/>
      </c>
      <c r="E459" s="183"/>
      <c r="F459" s="144" t="str">
        <f t="shared" si="59"/>
        <v/>
      </c>
      <c r="G459" s="182"/>
      <c r="H459" s="182"/>
      <c r="I459" s="182"/>
      <c r="K459" s="139" t="str">
        <f t="shared" si="55"/>
        <v/>
      </c>
      <c r="L459" s="139" t="str">
        <f t="shared" si="56"/>
        <v/>
      </c>
      <c r="V459" s="139" t="s">
        <v>923</v>
      </c>
      <c r="W459" s="139" t="s">
        <v>924</v>
      </c>
    </row>
    <row r="460" spans="1:23">
      <c r="A460" s="149"/>
      <c r="B460" s="144" t="str">
        <f t="shared" si="57"/>
        <v/>
      </c>
      <c r="C460" s="149"/>
      <c r="D460" s="144" t="str">
        <f t="shared" si="58"/>
        <v/>
      </c>
      <c r="E460" s="183"/>
      <c r="F460" s="144" t="str">
        <f t="shared" si="59"/>
        <v/>
      </c>
      <c r="G460" s="182"/>
      <c r="H460" s="182"/>
      <c r="I460" s="182"/>
      <c r="K460" s="139" t="str">
        <f t="shared" si="55"/>
        <v/>
      </c>
      <c r="L460" s="139" t="str">
        <f t="shared" si="56"/>
        <v/>
      </c>
      <c r="V460" s="139" t="s">
        <v>925</v>
      </c>
      <c r="W460" s="139" t="s">
        <v>926</v>
      </c>
    </row>
    <row r="461" spans="1:23">
      <c r="A461" s="149"/>
      <c r="B461" s="144" t="str">
        <f t="shared" si="57"/>
        <v/>
      </c>
      <c r="C461" s="149"/>
      <c r="D461" s="144" t="str">
        <f t="shared" si="58"/>
        <v/>
      </c>
      <c r="E461" s="183"/>
      <c r="F461" s="144" t="str">
        <f t="shared" si="59"/>
        <v/>
      </c>
      <c r="G461" s="182"/>
      <c r="H461" s="182"/>
      <c r="I461" s="182"/>
      <c r="K461" s="139" t="str">
        <f t="shared" si="55"/>
        <v/>
      </c>
      <c r="L461" s="139" t="str">
        <f t="shared" si="56"/>
        <v/>
      </c>
      <c r="V461" s="139" t="s">
        <v>927</v>
      </c>
      <c r="W461" s="139" t="s">
        <v>928</v>
      </c>
    </row>
    <row r="462" spans="1:23">
      <c r="A462" s="149"/>
      <c r="B462" s="144" t="str">
        <f t="shared" si="57"/>
        <v/>
      </c>
      <c r="C462" s="149"/>
      <c r="D462" s="144" t="str">
        <f t="shared" si="58"/>
        <v/>
      </c>
      <c r="E462" s="183"/>
      <c r="F462" s="144" t="str">
        <f t="shared" si="59"/>
        <v/>
      </c>
      <c r="G462" s="182"/>
      <c r="H462" s="182"/>
      <c r="I462" s="182"/>
      <c r="K462" s="139" t="str">
        <f t="shared" si="55"/>
        <v/>
      </c>
      <c r="L462" s="139" t="str">
        <f t="shared" si="56"/>
        <v/>
      </c>
      <c r="V462" s="139" t="s">
        <v>929</v>
      </c>
      <c r="W462" s="139" t="s">
        <v>930</v>
      </c>
    </row>
    <row r="463" spans="1:23">
      <c r="A463" s="149"/>
      <c r="B463" s="144" t="str">
        <f t="shared" si="57"/>
        <v/>
      </c>
      <c r="C463" s="149"/>
      <c r="D463" s="144" t="str">
        <f t="shared" si="58"/>
        <v/>
      </c>
      <c r="E463" s="183"/>
      <c r="F463" s="144" t="str">
        <f t="shared" si="59"/>
        <v/>
      </c>
      <c r="G463" s="182"/>
      <c r="H463" s="182"/>
      <c r="I463" s="182"/>
      <c r="K463" s="139" t="str">
        <f t="shared" si="55"/>
        <v/>
      </c>
      <c r="L463" s="139" t="str">
        <f t="shared" si="56"/>
        <v/>
      </c>
      <c r="V463" s="139" t="s">
        <v>931</v>
      </c>
      <c r="W463" s="139" t="s">
        <v>932</v>
      </c>
    </row>
    <row r="464" spans="1:23">
      <c r="A464" s="149"/>
      <c r="B464" s="144" t="str">
        <f t="shared" si="57"/>
        <v/>
      </c>
      <c r="C464" s="149"/>
      <c r="D464" s="144" t="str">
        <f t="shared" si="58"/>
        <v/>
      </c>
      <c r="E464" s="183"/>
      <c r="F464" s="144" t="str">
        <f t="shared" si="59"/>
        <v/>
      </c>
      <c r="G464" s="182"/>
      <c r="H464" s="182"/>
      <c r="I464" s="182"/>
      <c r="K464" s="139" t="str">
        <f t="shared" si="55"/>
        <v/>
      </c>
      <c r="L464" s="139" t="str">
        <f t="shared" si="56"/>
        <v/>
      </c>
      <c r="V464" s="139" t="s">
        <v>933</v>
      </c>
      <c r="W464" s="139" t="s">
        <v>934</v>
      </c>
    </row>
    <row r="465" spans="1:23">
      <c r="A465" s="149"/>
      <c r="B465" s="144" t="str">
        <f t="shared" si="57"/>
        <v/>
      </c>
      <c r="C465" s="149"/>
      <c r="D465" s="144" t="str">
        <f t="shared" si="58"/>
        <v/>
      </c>
      <c r="E465" s="183"/>
      <c r="F465" s="144" t="str">
        <f t="shared" si="59"/>
        <v/>
      </c>
      <c r="G465" s="182"/>
      <c r="H465" s="182"/>
      <c r="I465" s="182"/>
      <c r="K465" s="139" t="str">
        <f t="shared" si="55"/>
        <v/>
      </c>
      <c r="L465" s="139" t="str">
        <f t="shared" si="56"/>
        <v/>
      </c>
      <c r="V465" s="139" t="s">
        <v>935</v>
      </c>
      <c r="W465" s="139" t="s">
        <v>936</v>
      </c>
    </row>
    <row r="466" spans="1:23">
      <c r="A466" s="149"/>
      <c r="B466" s="144" t="str">
        <f t="shared" si="57"/>
        <v/>
      </c>
      <c r="C466" s="149"/>
      <c r="D466" s="144" t="str">
        <f t="shared" si="58"/>
        <v/>
      </c>
      <c r="E466" s="183"/>
      <c r="F466" s="144" t="str">
        <f t="shared" si="59"/>
        <v/>
      </c>
      <c r="G466" s="182"/>
      <c r="H466" s="182"/>
      <c r="I466" s="182"/>
      <c r="K466" s="139" t="str">
        <f t="shared" si="55"/>
        <v/>
      </c>
      <c r="L466" s="139" t="str">
        <f t="shared" si="56"/>
        <v/>
      </c>
      <c r="V466" s="139" t="s">
        <v>937</v>
      </c>
      <c r="W466" s="139" t="s">
        <v>938</v>
      </c>
    </row>
    <row r="467" spans="1:23">
      <c r="A467" s="149"/>
      <c r="B467" s="144" t="str">
        <f t="shared" si="57"/>
        <v/>
      </c>
      <c r="C467" s="149"/>
      <c r="D467" s="144" t="str">
        <f t="shared" si="58"/>
        <v/>
      </c>
      <c r="E467" s="183"/>
      <c r="F467" s="144" t="str">
        <f t="shared" si="59"/>
        <v/>
      </c>
      <c r="G467" s="182"/>
      <c r="H467" s="182"/>
      <c r="I467" s="182"/>
      <c r="K467" s="139" t="str">
        <f t="shared" si="55"/>
        <v/>
      </c>
      <c r="L467" s="139" t="str">
        <f t="shared" si="56"/>
        <v/>
      </c>
      <c r="V467" s="139" t="s">
        <v>939</v>
      </c>
      <c r="W467" s="139" t="s">
        <v>940</v>
      </c>
    </row>
    <row r="468" spans="1:23">
      <c r="A468" s="149"/>
      <c r="B468" s="144" t="str">
        <f t="shared" si="57"/>
        <v/>
      </c>
      <c r="C468" s="149"/>
      <c r="D468" s="144" t="str">
        <f t="shared" si="58"/>
        <v/>
      </c>
      <c r="E468" s="183"/>
      <c r="F468" s="144" t="str">
        <f t="shared" si="59"/>
        <v/>
      </c>
      <c r="G468" s="182"/>
      <c r="H468" s="182"/>
      <c r="I468" s="182"/>
      <c r="K468" s="139" t="str">
        <f t="shared" si="55"/>
        <v/>
      </c>
      <c r="L468" s="139" t="str">
        <f t="shared" si="56"/>
        <v/>
      </c>
      <c r="V468" s="139" t="s">
        <v>941</v>
      </c>
      <c r="W468" s="139" t="s">
        <v>942</v>
      </c>
    </row>
    <row r="469" spans="1:23">
      <c r="A469" s="149"/>
      <c r="B469" s="144" t="str">
        <f t="shared" si="57"/>
        <v/>
      </c>
      <c r="C469" s="149"/>
      <c r="D469" s="144" t="str">
        <f t="shared" si="58"/>
        <v/>
      </c>
      <c r="E469" s="183"/>
      <c r="F469" s="144" t="str">
        <f t="shared" si="59"/>
        <v/>
      </c>
      <c r="G469" s="182"/>
      <c r="H469" s="182"/>
      <c r="I469" s="182"/>
      <c r="K469" s="139" t="str">
        <f t="shared" si="55"/>
        <v/>
      </c>
      <c r="L469" s="139" t="str">
        <f t="shared" si="56"/>
        <v/>
      </c>
      <c r="V469" s="139" t="s">
        <v>943</v>
      </c>
      <c r="W469" s="139" t="s">
        <v>944</v>
      </c>
    </row>
    <row r="470" spans="1:23">
      <c r="A470" s="149"/>
      <c r="B470" s="144" t="str">
        <f t="shared" si="57"/>
        <v/>
      </c>
      <c r="C470" s="149"/>
      <c r="D470" s="144" t="str">
        <f t="shared" si="58"/>
        <v/>
      </c>
      <c r="E470" s="183"/>
      <c r="F470" s="144" t="str">
        <f t="shared" si="59"/>
        <v/>
      </c>
      <c r="G470" s="182"/>
      <c r="H470" s="182"/>
      <c r="I470" s="182"/>
      <c r="K470" s="139" t="str">
        <f t="shared" si="55"/>
        <v/>
      </c>
      <c r="L470" s="139" t="str">
        <f t="shared" si="56"/>
        <v/>
      </c>
      <c r="V470" s="139" t="s">
        <v>945</v>
      </c>
      <c r="W470" s="139" t="s">
        <v>946</v>
      </c>
    </row>
    <row r="471" spans="1:23">
      <c r="A471" s="149"/>
      <c r="B471" s="144" t="str">
        <f t="shared" si="57"/>
        <v/>
      </c>
      <c r="C471" s="149"/>
      <c r="D471" s="144" t="str">
        <f t="shared" si="58"/>
        <v/>
      </c>
      <c r="E471" s="183"/>
      <c r="F471" s="144" t="str">
        <f t="shared" si="59"/>
        <v/>
      </c>
      <c r="G471" s="182"/>
      <c r="H471" s="182"/>
      <c r="I471" s="182"/>
      <c r="K471" s="139" t="str">
        <f t="shared" si="55"/>
        <v/>
      </c>
      <c r="L471" s="139" t="str">
        <f t="shared" si="56"/>
        <v/>
      </c>
      <c r="V471" s="139" t="s">
        <v>947</v>
      </c>
      <c r="W471" s="139" t="s">
        <v>948</v>
      </c>
    </row>
    <row r="472" spans="1:23">
      <c r="A472" s="149"/>
      <c r="B472" s="144" t="str">
        <f t="shared" si="57"/>
        <v/>
      </c>
      <c r="C472" s="149"/>
      <c r="D472" s="144" t="str">
        <f t="shared" si="58"/>
        <v/>
      </c>
      <c r="E472" s="183"/>
      <c r="F472" s="144" t="str">
        <f t="shared" si="59"/>
        <v/>
      </c>
      <c r="G472" s="182"/>
      <c r="H472" s="182"/>
      <c r="I472" s="182"/>
      <c r="K472" s="139" t="str">
        <f t="shared" si="55"/>
        <v/>
      </c>
      <c r="L472" s="139" t="str">
        <f t="shared" si="56"/>
        <v/>
      </c>
      <c r="V472" s="139" t="s">
        <v>949</v>
      </c>
      <c r="W472" s="139" t="s">
        <v>950</v>
      </c>
    </row>
    <row r="473" spans="1:23">
      <c r="A473" s="149"/>
      <c r="B473" s="144" t="str">
        <f t="shared" si="57"/>
        <v/>
      </c>
      <c r="C473" s="149"/>
      <c r="D473" s="144" t="str">
        <f t="shared" si="58"/>
        <v/>
      </c>
      <c r="E473" s="183"/>
      <c r="F473" s="144" t="str">
        <f t="shared" si="59"/>
        <v/>
      </c>
      <c r="G473" s="182"/>
      <c r="H473" s="182"/>
      <c r="I473" s="182"/>
      <c r="K473" s="139" t="str">
        <f t="shared" ref="K473:K536" si="60">LEFT(C473,3)</f>
        <v/>
      </c>
      <c r="L473" s="139" t="str">
        <f t="shared" ref="L473:L536" si="61">LEFT(C473,2)</f>
        <v/>
      </c>
      <c r="V473" s="139" t="s">
        <v>951</v>
      </c>
      <c r="W473" s="139" t="s">
        <v>952</v>
      </c>
    </row>
    <row r="474" spans="1:23">
      <c r="A474" s="149"/>
      <c r="B474" s="144" t="str">
        <f t="shared" si="57"/>
        <v/>
      </c>
      <c r="C474" s="149"/>
      <c r="D474" s="144" t="str">
        <f t="shared" si="58"/>
        <v/>
      </c>
      <c r="E474" s="183"/>
      <c r="F474" s="144" t="str">
        <f t="shared" si="59"/>
        <v/>
      </c>
      <c r="G474" s="182"/>
      <c r="H474" s="182"/>
      <c r="I474" s="182"/>
      <c r="K474" s="139" t="str">
        <f t="shared" si="60"/>
        <v/>
      </c>
      <c r="L474" s="139" t="str">
        <f t="shared" si="61"/>
        <v/>
      </c>
      <c r="V474" s="139" t="s">
        <v>953</v>
      </c>
      <c r="W474" s="139" t="s">
        <v>954</v>
      </c>
    </row>
    <row r="475" spans="1:23">
      <c r="A475" s="149"/>
      <c r="B475" s="144" t="str">
        <f t="shared" si="57"/>
        <v/>
      </c>
      <c r="C475" s="149"/>
      <c r="D475" s="144" t="str">
        <f t="shared" si="58"/>
        <v/>
      </c>
      <c r="E475" s="183"/>
      <c r="F475" s="144" t="str">
        <f t="shared" si="59"/>
        <v/>
      </c>
      <c r="G475" s="182"/>
      <c r="H475" s="182"/>
      <c r="I475" s="182"/>
      <c r="K475" s="139" t="str">
        <f t="shared" si="60"/>
        <v/>
      </c>
      <c r="L475" s="139" t="str">
        <f t="shared" si="61"/>
        <v/>
      </c>
      <c r="V475" s="139" t="s">
        <v>955</v>
      </c>
      <c r="W475" s="139" t="s">
        <v>956</v>
      </c>
    </row>
    <row r="476" spans="1:23">
      <c r="A476" s="149"/>
      <c r="B476" s="144" t="str">
        <f t="shared" si="57"/>
        <v/>
      </c>
      <c r="C476" s="149"/>
      <c r="D476" s="144" t="str">
        <f t="shared" si="58"/>
        <v/>
      </c>
      <c r="E476" s="183"/>
      <c r="F476" s="144" t="str">
        <f t="shared" si="59"/>
        <v/>
      </c>
      <c r="G476" s="182"/>
      <c r="H476" s="182"/>
      <c r="I476" s="182"/>
      <c r="K476" s="139" t="str">
        <f t="shared" si="60"/>
        <v/>
      </c>
      <c r="L476" s="139" t="str">
        <f t="shared" si="61"/>
        <v/>
      </c>
      <c r="V476" s="139" t="s">
        <v>957</v>
      </c>
      <c r="W476" s="139" t="s">
        <v>958</v>
      </c>
    </row>
    <row r="477" spans="1:23">
      <c r="A477" s="149"/>
      <c r="B477" s="144" t="str">
        <f t="shared" si="57"/>
        <v/>
      </c>
      <c r="C477" s="149"/>
      <c r="D477" s="144" t="str">
        <f t="shared" si="58"/>
        <v/>
      </c>
      <c r="E477" s="183"/>
      <c r="F477" s="144" t="str">
        <f t="shared" si="59"/>
        <v/>
      </c>
      <c r="G477" s="182"/>
      <c r="H477" s="182"/>
      <c r="I477" s="182"/>
      <c r="K477" s="139" t="str">
        <f t="shared" si="60"/>
        <v/>
      </c>
      <c r="L477" s="139" t="str">
        <f t="shared" si="61"/>
        <v/>
      </c>
      <c r="V477" s="139" t="s">
        <v>959</v>
      </c>
      <c r="W477" s="139" t="s">
        <v>960</v>
      </c>
    </row>
    <row r="478" spans="1:23">
      <c r="A478" s="149"/>
      <c r="B478" s="144" t="str">
        <f t="shared" si="57"/>
        <v/>
      </c>
      <c r="C478" s="149"/>
      <c r="D478" s="144" t="str">
        <f t="shared" si="58"/>
        <v/>
      </c>
      <c r="E478" s="183"/>
      <c r="F478" s="144" t="str">
        <f t="shared" si="59"/>
        <v/>
      </c>
      <c r="G478" s="182"/>
      <c r="H478" s="182"/>
      <c r="I478" s="182"/>
      <c r="K478" s="139" t="str">
        <f t="shared" si="60"/>
        <v/>
      </c>
      <c r="L478" s="139" t="str">
        <f t="shared" si="61"/>
        <v/>
      </c>
      <c r="V478" s="139" t="s">
        <v>961</v>
      </c>
      <c r="W478" s="139" t="s">
        <v>962</v>
      </c>
    </row>
    <row r="479" spans="1:23">
      <c r="A479" s="149"/>
      <c r="B479" s="144" t="str">
        <f t="shared" si="57"/>
        <v/>
      </c>
      <c r="C479" s="149"/>
      <c r="D479" s="144" t="str">
        <f t="shared" si="58"/>
        <v/>
      </c>
      <c r="E479" s="183"/>
      <c r="F479" s="144" t="str">
        <f t="shared" si="59"/>
        <v/>
      </c>
      <c r="G479" s="182"/>
      <c r="H479" s="182"/>
      <c r="I479" s="182"/>
      <c r="K479" s="139" t="str">
        <f t="shared" si="60"/>
        <v/>
      </c>
      <c r="L479" s="139" t="str">
        <f t="shared" si="61"/>
        <v/>
      </c>
      <c r="V479" s="139" t="s">
        <v>963</v>
      </c>
      <c r="W479" s="139" t="s">
        <v>964</v>
      </c>
    </row>
    <row r="480" spans="1:23">
      <c r="A480" s="149"/>
      <c r="B480" s="144" t="str">
        <f t="shared" si="57"/>
        <v/>
      </c>
      <c r="C480" s="149"/>
      <c r="D480" s="144" t="str">
        <f t="shared" si="58"/>
        <v/>
      </c>
      <c r="E480" s="183"/>
      <c r="F480" s="144" t="str">
        <f t="shared" si="59"/>
        <v/>
      </c>
      <c r="G480" s="182"/>
      <c r="H480" s="182"/>
      <c r="I480" s="182"/>
      <c r="K480" s="139" t="str">
        <f t="shared" si="60"/>
        <v/>
      </c>
      <c r="L480" s="139" t="str">
        <f t="shared" si="61"/>
        <v/>
      </c>
      <c r="V480" s="139" t="s">
        <v>965</v>
      </c>
      <c r="W480" s="139" t="s">
        <v>966</v>
      </c>
    </row>
    <row r="481" spans="1:23">
      <c r="A481" s="149"/>
      <c r="B481" s="144" t="str">
        <f t="shared" si="57"/>
        <v/>
      </c>
      <c r="C481" s="149"/>
      <c r="D481" s="144" t="str">
        <f t="shared" si="58"/>
        <v/>
      </c>
      <c r="E481" s="183"/>
      <c r="F481" s="144" t="str">
        <f t="shared" si="59"/>
        <v/>
      </c>
      <c r="G481" s="182"/>
      <c r="H481" s="182"/>
      <c r="I481" s="182"/>
      <c r="K481" s="139" t="str">
        <f t="shared" si="60"/>
        <v/>
      </c>
      <c r="L481" s="139" t="str">
        <f t="shared" si="61"/>
        <v/>
      </c>
      <c r="V481" s="139" t="s">
        <v>967</v>
      </c>
      <c r="W481" s="139" t="s">
        <v>968</v>
      </c>
    </row>
    <row r="482" spans="1:23">
      <c r="A482" s="149"/>
      <c r="B482" s="144" t="str">
        <f t="shared" si="57"/>
        <v/>
      </c>
      <c r="C482" s="149"/>
      <c r="D482" s="144" t="str">
        <f t="shared" si="58"/>
        <v/>
      </c>
      <c r="E482" s="183"/>
      <c r="F482" s="144" t="str">
        <f t="shared" si="59"/>
        <v/>
      </c>
      <c r="G482" s="182"/>
      <c r="H482" s="182"/>
      <c r="I482" s="182"/>
      <c r="K482" s="139" t="str">
        <f t="shared" si="60"/>
        <v/>
      </c>
      <c r="L482" s="139" t="str">
        <f t="shared" si="61"/>
        <v/>
      </c>
      <c r="V482" s="139" t="s">
        <v>969</v>
      </c>
      <c r="W482" s="139" t="s">
        <v>970</v>
      </c>
    </row>
    <row r="483" spans="1:23">
      <c r="A483" s="149"/>
      <c r="B483" s="144" t="str">
        <f t="shared" si="57"/>
        <v/>
      </c>
      <c r="C483" s="149"/>
      <c r="D483" s="144" t="str">
        <f t="shared" si="58"/>
        <v/>
      </c>
      <c r="E483" s="183"/>
      <c r="F483" s="144" t="str">
        <f t="shared" si="59"/>
        <v/>
      </c>
      <c r="G483" s="182"/>
      <c r="H483" s="182"/>
      <c r="I483" s="182"/>
      <c r="K483" s="139" t="str">
        <f t="shared" si="60"/>
        <v/>
      </c>
      <c r="L483" s="139" t="str">
        <f t="shared" si="61"/>
        <v/>
      </c>
      <c r="V483" s="139" t="s">
        <v>971</v>
      </c>
      <c r="W483" s="139" t="s">
        <v>972</v>
      </c>
    </row>
    <row r="484" spans="1:23">
      <c r="A484" s="149"/>
      <c r="B484" s="144" t="str">
        <f t="shared" si="57"/>
        <v/>
      </c>
      <c r="C484" s="149"/>
      <c r="D484" s="144" t="str">
        <f t="shared" si="58"/>
        <v/>
      </c>
      <c r="E484" s="183"/>
      <c r="F484" s="144" t="str">
        <f t="shared" si="59"/>
        <v/>
      </c>
      <c r="G484" s="182"/>
      <c r="H484" s="182"/>
      <c r="I484" s="182"/>
      <c r="K484" s="139" t="str">
        <f t="shared" si="60"/>
        <v/>
      </c>
      <c r="L484" s="139" t="str">
        <f t="shared" si="61"/>
        <v/>
      </c>
      <c r="V484" s="139" t="s">
        <v>973</v>
      </c>
      <c r="W484" s="139" t="s">
        <v>974</v>
      </c>
    </row>
    <row r="485" spans="1:23">
      <c r="A485" s="149"/>
      <c r="B485" s="144" t="str">
        <f t="shared" si="57"/>
        <v/>
      </c>
      <c r="C485" s="149"/>
      <c r="D485" s="144" t="str">
        <f t="shared" si="58"/>
        <v/>
      </c>
      <c r="E485" s="183"/>
      <c r="F485" s="144" t="str">
        <f t="shared" si="59"/>
        <v/>
      </c>
      <c r="G485" s="182"/>
      <c r="H485" s="182"/>
      <c r="I485" s="182"/>
      <c r="K485" s="139" t="str">
        <f t="shared" si="60"/>
        <v/>
      </c>
      <c r="L485" s="139" t="str">
        <f t="shared" si="61"/>
        <v/>
      </c>
      <c r="V485" s="139" t="s">
        <v>975</v>
      </c>
      <c r="W485" s="139" t="s">
        <v>976</v>
      </c>
    </row>
    <row r="486" spans="1:23">
      <c r="A486" s="149"/>
      <c r="B486" s="144" t="str">
        <f t="shared" si="57"/>
        <v/>
      </c>
      <c r="C486" s="149"/>
      <c r="D486" s="144" t="str">
        <f t="shared" si="58"/>
        <v/>
      </c>
      <c r="E486" s="183"/>
      <c r="F486" s="144" t="str">
        <f t="shared" si="59"/>
        <v/>
      </c>
      <c r="G486" s="182"/>
      <c r="H486" s="182"/>
      <c r="I486" s="182"/>
      <c r="K486" s="139" t="str">
        <f t="shared" si="60"/>
        <v/>
      </c>
      <c r="L486" s="139" t="str">
        <f t="shared" si="61"/>
        <v/>
      </c>
      <c r="V486" s="139" t="s">
        <v>1574</v>
      </c>
      <c r="W486" s="139" t="s">
        <v>1575</v>
      </c>
    </row>
    <row r="487" spans="1:23">
      <c r="A487" s="149"/>
      <c r="B487" s="144" t="str">
        <f t="shared" ref="B487:B550" si="62">IFERROR(VLOOKUP(A487,$M$7:$N$37,2,FALSE),"")</f>
        <v/>
      </c>
      <c r="C487" s="149"/>
      <c r="D487" s="144" t="str">
        <f t="shared" si="58"/>
        <v/>
      </c>
      <c r="E487" s="183"/>
      <c r="F487" s="144" t="str">
        <f t="shared" si="59"/>
        <v/>
      </c>
      <c r="G487" s="182"/>
      <c r="H487" s="182"/>
      <c r="I487" s="182"/>
      <c r="K487" s="139" t="str">
        <f t="shared" si="60"/>
        <v/>
      </c>
      <c r="L487" s="139" t="str">
        <f t="shared" si="61"/>
        <v/>
      </c>
      <c r="V487" s="139" t="s">
        <v>1576</v>
      </c>
      <c r="W487" s="139" t="s">
        <v>1577</v>
      </c>
    </row>
    <row r="488" spans="1:23">
      <c r="A488" s="149"/>
      <c r="B488" s="144" t="str">
        <f t="shared" si="62"/>
        <v/>
      </c>
      <c r="C488" s="149"/>
      <c r="D488" s="144" t="str">
        <f t="shared" ref="D488:D551" si="63">IFERROR(VLOOKUP(C488,$P$6:$R$214,2,FALSE),"")</f>
        <v/>
      </c>
      <c r="E488" s="183"/>
      <c r="F488" s="144" t="str">
        <f t="shared" ref="F488:F551" si="64">IFERROR(VLOOKUP(E488,$V$7:$W$1103,2,FALSE),"")</f>
        <v/>
      </c>
      <c r="G488" s="182"/>
      <c r="H488" s="182"/>
      <c r="I488" s="182"/>
      <c r="K488" s="139" t="str">
        <f t="shared" si="60"/>
        <v/>
      </c>
      <c r="L488" s="139" t="str">
        <f t="shared" si="61"/>
        <v/>
      </c>
      <c r="V488" s="139" t="s">
        <v>1578</v>
      </c>
      <c r="W488" s="139" t="s">
        <v>1579</v>
      </c>
    </row>
    <row r="489" spans="1:23">
      <c r="A489" s="149"/>
      <c r="B489" s="144" t="str">
        <f t="shared" si="62"/>
        <v/>
      </c>
      <c r="C489" s="149"/>
      <c r="D489" s="144" t="str">
        <f t="shared" si="63"/>
        <v/>
      </c>
      <c r="E489" s="183"/>
      <c r="F489" s="144" t="str">
        <f t="shared" si="64"/>
        <v/>
      </c>
      <c r="G489" s="182"/>
      <c r="H489" s="182"/>
      <c r="I489" s="182"/>
      <c r="K489" s="139" t="str">
        <f t="shared" si="60"/>
        <v/>
      </c>
      <c r="L489" s="139" t="str">
        <f t="shared" si="61"/>
        <v/>
      </c>
      <c r="V489" s="139" t="s">
        <v>1580</v>
      </c>
      <c r="W489" s="139" t="s">
        <v>1581</v>
      </c>
    </row>
    <row r="490" spans="1:23">
      <c r="A490" s="149"/>
      <c r="B490" s="144" t="str">
        <f t="shared" si="62"/>
        <v/>
      </c>
      <c r="C490" s="149"/>
      <c r="D490" s="144" t="str">
        <f t="shared" si="63"/>
        <v/>
      </c>
      <c r="E490" s="183"/>
      <c r="F490" s="144" t="str">
        <f t="shared" si="64"/>
        <v/>
      </c>
      <c r="G490" s="182"/>
      <c r="H490" s="182"/>
      <c r="I490" s="182"/>
      <c r="K490" s="139" t="str">
        <f t="shared" si="60"/>
        <v/>
      </c>
      <c r="L490" s="139" t="str">
        <f t="shared" si="61"/>
        <v/>
      </c>
      <c r="V490" s="139" t="s">
        <v>1582</v>
      </c>
      <c r="W490" s="139" t="s">
        <v>1583</v>
      </c>
    </row>
    <row r="491" spans="1:23">
      <c r="A491" s="149"/>
      <c r="B491" s="144" t="str">
        <f t="shared" si="62"/>
        <v/>
      </c>
      <c r="C491" s="149"/>
      <c r="D491" s="144" t="str">
        <f t="shared" si="63"/>
        <v/>
      </c>
      <c r="E491" s="183"/>
      <c r="F491" s="144" t="str">
        <f t="shared" si="64"/>
        <v/>
      </c>
      <c r="G491" s="182"/>
      <c r="H491" s="182"/>
      <c r="I491" s="182"/>
      <c r="K491" s="139" t="str">
        <f t="shared" si="60"/>
        <v/>
      </c>
      <c r="L491" s="139" t="str">
        <f t="shared" si="61"/>
        <v/>
      </c>
      <c r="V491" s="139" t="s">
        <v>1584</v>
      </c>
      <c r="W491" s="139" t="s">
        <v>1585</v>
      </c>
    </row>
    <row r="492" spans="1:23">
      <c r="A492" s="149"/>
      <c r="B492" s="144" t="str">
        <f t="shared" si="62"/>
        <v/>
      </c>
      <c r="C492" s="149"/>
      <c r="D492" s="144" t="str">
        <f t="shared" si="63"/>
        <v/>
      </c>
      <c r="E492" s="183"/>
      <c r="F492" s="144" t="str">
        <f t="shared" si="64"/>
        <v/>
      </c>
      <c r="G492" s="182"/>
      <c r="H492" s="182"/>
      <c r="I492" s="182"/>
      <c r="K492" s="139" t="str">
        <f t="shared" si="60"/>
        <v/>
      </c>
      <c r="L492" s="139" t="str">
        <f t="shared" si="61"/>
        <v/>
      </c>
      <c r="V492" s="139" t="s">
        <v>1586</v>
      </c>
      <c r="W492" s="139" t="s">
        <v>1587</v>
      </c>
    </row>
    <row r="493" spans="1:23">
      <c r="A493" s="149"/>
      <c r="B493" s="144" t="str">
        <f t="shared" si="62"/>
        <v/>
      </c>
      <c r="C493" s="149"/>
      <c r="D493" s="144" t="str">
        <f t="shared" si="63"/>
        <v/>
      </c>
      <c r="E493" s="183"/>
      <c r="F493" s="144" t="str">
        <f t="shared" si="64"/>
        <v/>
      </c>
      <c r="G493" s="182"/>
      <c r="H493" s="182"/>
      <c r="I493" s="182"/>
      <c r="K493" s="139" t="str">
        <f t="shared" si="60"/>
        <v/>
      </c>
      <c r="L493" s="139" t="str">
        <f t="shared" si="61"/>
        <v/>
      </c>
      <c r="V493" s="139" t="s">
        <v>1588</v>
      </c>
      <c r="W493" s="139" t="s">
        <v>1589</v>
      </c>
    </row>
    <row r="494" spans="1:23">
      <c r="A494" s="149"/>
      <c r="B494" s="144" t="str">
        <f t="shared" si="62"/>
        <v/>
      </c>
      <c r="C494" s="149"/>
      <c r="D494" s="144" t="str">
        <f t="shared" si="63"/>
        <v/>
      </c>
      <c r="E494" s="183"/>
      <c r="F494" s="144" t="str">
        <f t="shared" si="64"/>
        <v/>
      </c>
      <c r="G494" s="182"/>
      <c r="H494" s="182"/>
      <c r="I494" s="182"/>
      <c r="K494" s="139" t="str">
        <f t="shared" si="60"/>
        <v/>
      </c>
      <c r="L494" s="139" t="str">
        <f t="shared" si="61"/>
        <v/>
      </c>
      <c r="V494" s="139" t="s">
        <v>1590</v>
      </c>
      <c r="W494" s="139" t="s">
        <v>1591</v>
      </c>
    </row>
    <row r="495" spans="1:23">
      <c r="A495" s="149"/>
      <c r="B495" s="144" t="str">
        <f t="shared" si="62"/>
        <v/>
      </c>
      <c r="C495" s="149"/>
      <c r="D495" s="144" t="str">
        <f t="shared" si="63"/>
        <v/>
      </c>
      <c r="E495" s="183"/>
      <c r="F495" s="144" t="str">
        <f t="shared" si="64"/>
        <v/>
      </c>
      <c r="G495" s="182"/>
      <c r="H495" s="182"/>
      <c r="I495" s="182"/>
      <c r="K495" s="139" t="str">
        <f t="shared" si="60"/>
        <v/>
      </c>
      <c r="L495" s="139" t="str">
        <f t="shared" si="61"/>
        <v/>
      </c>
      <c r="V495" s="139" t="s">
        <v>1592</v>
      </c>
      <c r="W495" s="139" t="s">
        <v>1593</v>
      </c>
    </row>
    <row r="496" spans="1:23">
      <c r="A496" s="149"/>
      <c r="B496" s="144" t="str">
        <f t="shared" si="62"/>
        <v/>
      </c>
      <c r="C496" s="149"/>
      <c r="D496" s="144" t="str">
        <f t="shared" si="63"/>
        <v/>
      </c>
      <c r="E496" s="183"/>
      <c r="F496" s="144" t="str">
        <f t="shared" si="64"/>
        <v/>
      </c>
      <c r="G496" s="182"/>
      <c r="H496" s="182"/>
      <c r="I496" s="182"/>
      <c r="K496" s="139" t="str">
        <f t="shared" si="60"/>
        <v/>
      </c>
      <c r="L496" s="139" t="str">
        <f t="shared" si="61"/>
        <v/>
      </c>
      <c r="V496" s="139" t="s">
        <v>1594</v>
      </c>
      <c r="W496" s="139" t="s">
        <v>1595</v>
      </c>
    </row>
    <row r="497" spans="1:23">
      <c r="A497" s="149"/>
      <c r="B497" s="144" t="str">
        <f t="shared" si="62"/>
        <v/>
      </c>
      <c r="C497" s="149"/>
      <c r="D497" s="144" t="str">
        <f t="shared" si="63"/>
        <v/>
      </c>
      <c r="E497" s="183"/>
      <c r="F497" s="144" t="str">
        <f t="shared" si="64"/>
        <v/>
      </c>
      <c r="G497" s="182"/>
      <c r="H497" s="182"/>
      <c r="I497" s="182"/>
      <c r="K497" s="139" t="str">
        <f t="shared" si="60"/>
        <v/>
      </c>
      <c r="L497" s="139" t="str">
        <f t="shared" si="61"/>
        <v/>
      </c>
      <c r="V497" s="139" t="s">
        <v>1596</v>
      </c>
      <c r="W497" s="139" t="s">
        <v>1597</v>
      </c>
    </row>
    <row r="498" spans="1:23">
      <c r="A498" s="149"/>
      <c r="B498" s="144" t="str">
        <f t="shared" si="62"/>
        <v/>
      </c>
      <c r="C498" s="149"/>
      <c r="D498" s="144" t="str">
        <f t="shared" si="63"/>
        <v/>
      </c>
      <c r="E498" s="183"/>
      <c r="F498" s="144" t="str">
        <f t="shared" si="64"/>
        <v/>
      </c>
      <c r="G498" s="182"/>
      <c r="H498" s="182"/>
      <c r="I498" s="182"/>
      <c r="K498" s="139" t="str">
        <f t="shared" si="60"/>
        <v/>
      </c>
      <c r="L498" s="139" t="str">
        <f t="shared" si="61"/>
        <v/>
      </c>
      <c r="V498" s="139" t="s">
        <v>1598</v>
      </c>
      <c r="W498" s="139" t="s">
        <v>1599</v>
      </c>
    </row>
    <row r="499" spans="1:23">
      <c r="A499" s="149"/>
      <c r="B499" s="144" t="str">
        <f t="shared" si="62"/>
        <v/>
      </c>
      <c r="C499" s="149"/>
      <c r="D499" s="144" t="str">
        <f t="shared" si="63"/>
        <v/>
      </c>
      <c r="E499" s="183"/>
      <c r="F499" s="144" t="str">
        <f t="shared" si="64"/>
        <v/>
      </c>
      <c r="G499" s="182"/>
      <c r="H499" s="182"/>
      <c r="I499" s="182"/>
      <c r="K499" s="139" t="str">
        <f t="shared" si="60"/>
        <v/>
      </c>
      <c r="L499" s="139" t="str">
        <f t="shared" si="61"/>
        <v/>
      </c>
      <c r="V499" s="139" t="s">
        <v>1600</v>
      </c>
      <c r="W499" s="139" t="s">
        <v>1601</v>
      </c>
    </row>
    <row r="500" spans="1:23">
      <c r="A500" s="149"/>
      <c r="B500" s="144" t="str">
        <f t="shared" si="62"/>
        <v/>
      </c>
      <c r="C500" s="149"/>
      <c r="D500" s="144" t="str">
        <f t="shared" si="63"/>
        <v/>
      </c>
      <c r="E500" s="183"/>
      <c r="F500" s="144" t="str">
        <f t="shared" si="64"/>
        <v/>
      </c>
      <c r="G500" s="182"/>
      <c r="H500" s="182"/>
      <c r="I500" s="182"/>
      <c r="K500" s="139" t="str">
        <f t="shared" si="60"/>
        <v/>
      </c>
      <c r="L500" s="139" t="str">
        <f t="shared" si="61"/>
        <v/>
      </c>
      <c r="V500" s="139" t="s">
        <v>1602</v>
      </c>
      <c r="W500" s="139" t="s">
        <v>1603</v>
      </c>
    </row>
    <row r="501" spans="1:23">
      <c r="A501" s="149"/>
      <c r="B501" s="144" t="str">
        <f t="shared" si="62"/>
        <v/>
      </c>
      <c r="C501" s="149"/>
      <c r="D501" s="144" t="str">
        <f t="shared" si="63"/>
        <v/>
      </c>
      <c r="E501" s="183"/>
      <c r="F501" s="144" t="str">
        <f t="shared" si="64"/>
        <v/>
      </c>
      <c r="G501" s="182"/>
      <c r="H501" s="182"/>
      <c r="I501" s="182"/>
      <c r="K501" s="139" t="str">
        <f t="shared" si="60"/>
        <v/>
      </c>
      <c r="L501" s="139" t="str">
        <f t="shared" si="61"/>
        <v/>
      </c>
      <c r="V501" s="139" t="s">
        <v>1604</v>
      </c>
      <c r="W501" s="139" t="s">
        <v>1605</v>
      </c>
    </row>
    <row r="502" spans="1:23">
      <c r="A502" s="149"/>
      <c r="B502" s="144" t="str">
        <f t="shared" si="62"/>
        <v/>
      </c>
      <c r="C502" s="149"/>
      <c r="D502" s="144" t="str">
        <f t="shared" si="63"/>
        <v/>
      </c>
      <c r="E502" s="183"/>
      <c r="F502" s="144" t="str">
        <f t="shared" si="64"/>
        <v/>
      </c>
      <c r="G502" s="182"/>
      <c r="H502" s="182"/>
      <c r="I502" s="182"/>
      <c r="K502" s="139" t="str">
        <f t="shared" si="60"/>
        <v/>
      </c>
      <c r="L502" s="139" t="str">
        <f t="shared" si="61"/>
        <v/>
      </c>
      <c r="V502" s="139" t="s">
        <v>1606</v>
      </c>
      <c r="W502" s="139" t="s">
        <v>1607</v>
      </c>
    </row>
    <row r="503" spans="1:23">
      <c r="A503" s="149"/>
      <c r="B503" s="144" t="str">
        <f t="shared" si="62"/>
        <v/>
      </c>
      <c r="C503" s="149"/>
      <c r="D503" s="144" t="str">
        <f t="shared" si="63"/>
        <v/>
      </c>
      <c r="E503" s="183"/>
      <c r="F503" s="144" t="str">
        <f t="shared" si="64"/>
        <v/>
      </c>
      <c r="G503" s="182"/>
      <c r="H503" s="182"/>
      <c r="I503" s="182"/>
      <c r="K503" s="139" t="str">
        <f t="shared" si="60"/>
        <v/>
      </c>
      <c r="L503" s="139" t="str">
        <f t="shared" si="61"/>
        <v/>
      </c>
      <c r="V503" s="139" t="s">
        <v>1608</v>
      </c>
      <c r="W503" s="139" t="s">
        <v>1609</v>
      </c>
    </row>
    <row r="504" spans="1:23">
      <c r="A504" s="149"/>
      <c r="B504" s="144" t="str">
        <f t="shared" si="62"/>
        <v/>
      </c>
      <c r="C504" s="149"/>
      <c r="D504" s="144" t="str">
        <f t="shared" si="63"/>
        <v/>
      </c>
      <c r="E504" s="183"/>
      <c r="F504" s="144" t="str">
        <f t="shared" si="64"/>
        <v/>
      </c>
      <c r="G504" s="182"/>
      <c r="H504" s="182"/>
      <c r="I504" s="182"/>
      <c r="K504" s="139" t="str">
        <f t="shared" si="60"/>
        <v/>
      </c>
      <c r="L504" s="139" t="str">
        <f t="shared" si="61"/>
        <v/>
      </c>
      <c r="V504" s="139" t="s">
        <v>1610</v>
      </c>
      <c r="W504" s="139" t="s">
        <v>1611</v>
      </c>
    </row>
    <row r="505" spans="1:23">
      <c r="A505" s="149"/>
      <c r="B505" s="144" t="str">
        <f t="shared" si="62"/>
        <v/>
      </c>
      <c r="C505" s="149"/>
      <c r="D505" s="144" t="str">
        <f t="shared" si="63"/>
        <v/>
      </c>
      <c r="E505" s="183"/>
      <c r="F505" s="144" t="str">
        <f t="shared" si="64"/>
        <v/>
      </c>
      <c r="G505" s="182"/>
      <c r="H505" s="182"/>
      <c r="I505" s="182"/>
      <c r="K505" s="139" t="str">
        <f t="shared" si="60"/>
        <v/>
      </c>
      <c r="L505" s="139" t="str">
        <f t="shared" si="61"/>
        <v/>
      </c>
      <c r="V505" s="139" t="s">
        <v>1612</v>
      </c>
      <c r="W505" s="139" t="s">
        <v>1613</v>
      </c>
    </row>
    <row r="506" spans="1:23">
      <c r="A506" s="149"/>
      <c r="B506" s="144" t="str">
        <f t="shared" si="62"/>
        <v/>
      </c>
      <c r="C506" s="149"/>
      <c r="D506" s="144" t="str">
        <f t="shared" si="63"/>
        <v/>
      </c>
      <c r="E506" s="183"/>
      <c r="F506" s="144" t="str">
        <f t="shared" si="64"/>
        <v/>
      </c>
      <c r="G506" s="182"/>
      <c r="H506" s="182"/>
      <c r="I506" s="182"/>
      <c r="K506" s="139" t="str">
        <f t="shared" si="60"/>
        <v/>
      </c>
      <c r="L506" s="139" t="str">
        <f t="shared" si="61"/>
        <v/>
      </c>
      <c r="V506" s="139" t="s">
        <v>1614</v>
      </c>
      <c r="W506" s="139" t="s">
        <v>1615</v>
      </c>
    </row>
    <row r="507" spans="1:23">
      <c r="A507" s="149"/>
      <c r="B507" s="144" t="str">
        <f t="shared" si="62"/>
        <v/>
      </c>
      <c r="C507" s="149"/>
      <c r="D507" s="144" t="str">
        <f t="shared" si="63"/>
        <v/>
      </c>
      <c r="E507" s="183"/>
      <c r="F507" s="144" t="str">
        <f t="shared" si="64"/>
        <v/>
      </c>
      <c r="G507" s="182"/>
      <c r="H507" s="182"/>
      <c r="I507" s="182"/>
      <c r="K507" s="139" t="str">
        <f t="shared" si="60"/>
        <v/>
      </c>
      <c r="L507" s="139" t="str">
        <f t="shared" si="61"/>
        <v/>
      </c>
      <c r="V507" s="139" t="s">
        <v>1616</v>
      </c>
      <c r="W507" s="139" t="s">
        <v>1617</v>
      </c>
    </row>
    <row r="508" spans="1:23">
      <c r="A508" s="149"/>
      <c r="B508" s="144" t="str">
        <f t="shared" si="62"/>
        <v/>
      </c>
      <c r="C508" s="149"/>
      <c r="D508" s="144" t="str">
        <f t="shared" si="63"/>
        <v/>
      </c>
      <c r="E508" s="183"/>
      <c r="F508" s="144" t="str">
        <f t="shared" si="64"/>
        <v/>
      </c>
      <c r="G508" s="182"/>
      <c r="H508" s="182"/>
      <c r="I508" s="182"/>
      <c r="K508" s="139" t="str">
        <f t="shared" si="60"/>
        <v/>
      </c>
      <c r="L508" s="139" t="str">
        <f t="shared" si="61"/>
        <v/>
      </c>
      <c r="V508" s="139" t="s">
        <v>1618</v>
      </c>
      <c r="W508" s="139" t="s">
        <v>1619</v>
      </c>
    </row>
    <row r="509" spans="1:23">
      <c r="A509" s="149"/>
      <c r="B509" s="144" t="str">
        <f t="shared" si="62"/>
        <v/>
      </c>
      <c r="C509" s="149"/>
      <c r="D509" s="144" t="str">
        <f t="shared" si="63"/>
        <v/>
      </c>
      <c r="E509" s="183"/>
      <c r="F509" s="144" t="str">
        <f t="shared" si="64"/>
        <v/>
      </c>
      <c r="G509" s="182"/>
      <c r="H509" s="182"/>
      <c r="I509" s="182"/>
      <c r="K509" s="139" t="str">
        <f t="shared" si="60"/>
        <v/>
      </c>
      <c r="L509" s="139" t="str">
        <f t="shared" si="61"/>
        <v/>
      </c>
      <c r="V509" s="139" t="s">
        <v>1620</v>
      </c>
      <c r="W509" s="139" t="s">
        <v>1621</v>
      </c>
    </row>
    <row r="510" spans="1:23">
      <c r="A510" s="149"/>
      <c r="B510" s="144" t="str">
        <f t="shared" si="62"/>
        <v/>
      </c>
      <c r="C510" s="149"/>
      <c r="D510" s="144" t="str">
        <f t="shared" si="63"/>
        <v/>
      </c>
      <c r="E510" s="183"/>
      <c r="F510" s="144" t="str">
        <f t="shared" si="64"/>
        <v/>
      </c>
      <c r="G510" s="182"/>
      <c r="H510" s="182"/>
      <c r="I510" s="182"/>
      <c r="K510" s="139" t="str">
        <f t="shared" si="60"/>
        <v/>
      </c>
      <c r="L510" s="139" t="str">
        <f t="shared" si="61"/>
        <v/>
      </c>
      <c r="V510" s="139" t="s">
        <v>1622</v>
      </c>
      <c r="W510" s="139" t="s">
        <v>1623</v>
      </c>
    </row>
    <row r="511" spans="1:23">
      <c r="A511" s="149"/>
      <c r="B511" s="144" t="str">
        <f t="shared" si="62"/>
        <v/>
      </c>
      <c r="C511" s="149"/>
      <c r="D511" s="144" t="str">
        <f t="shared" si="63"/>
        <v/>
      </c>
      <c r="E511" s="183"/>
      <c r="F511" s="144" t="str">
        <f t="shared" si="64"/>
        <v/>
      </c>
      <c r="G511" s="182"/>
      <c r="H511" s="182"/>
      <c r="I511" s="182"/>
      <c r="K511" s="139" t="str">
        <f t="shared" si="60"/>
        <v/>
      </c>
      <c r="L511" s="139" t="str">
        <f t="shared" si="61"/>
        <v/>
      </c>
      <c r="V511" s="139" t="s">
        <v>1624</v>
      </c>
      <c r="W511" s="139" t="s">
        <v>1625</v>
      </c>
    </row>
    <row r="512" spans="1:23">
      <c r="A512" s="149"/>
      <c r="B512" s="144" t="str">
        <f t="shared" si="62"/>
        <v/>
      </c>
      <c r="C512" s="149"/>
      <c r="D512" s="144" t="str">
        <f t="shared" si="63"/>
        <v/>
      </c>
      <c r="E512" s="183"/>
      <c r="F512" s="144" t="str">
        <f t="shared" si="64"/>
        <v/>
      </c>
      <c r="G512" s="182"/>
      <c r="H512" s="182"/>
      <c r="I512" s="182"/>
      <c r="K512" s="139" t="str">
        <f t="shared" si="60"/>
        <v/>
      </c>
      <c r="L512" s="139" t="str">
        <f t="shared" si="61"/>
        <v/>
      </c>
      <c r="V512" s="139" t="s">
        <v>1626</v>
      </c>
      <c r="W512" s="139" t="s">
        <v>1627</v>
      </c>
    </row>
    <row r="513" spans="1:23">
      <c r="A513" s="149"/>
      <c r="B513" s="144" t="str">
        <f t="shared" si="62"/>
        <v/>
      </c>
      <c r="C513" s="149"/>
      <c r="D513" s="144" t="str">
        <f t="shared" si="63"/>
        <v/>
      </c>
      <c r="E513" s="183"/>
      <c r="F513" s="144" t="str">
        <f t="shared" si="64"/>
        <v/>
      </c>
      <c r="G513" s="182"/>
      <c r="H513" s="182"/>
      <c r="I513" s="182"/>
      <c r="K513" s="139" t="str">
        <f t="shared" si="60"/>
        <v/>
      </c>
      <c r="L513" s="139" t="str">
        <f t="shared" si="61"/>
        <v/>
      </c>
      <c r="V513" s="139" t="s">
        <v>1628</v>
      </c>
      <c r="W513" s="139" t="s">
        <v>1629</v>
      </c>
    </row>
    <row r="514" spans="1:23">
      <c r="A514" s="149"/>
      <c r="B514" s="144" t="str">
        <f t="shared" si="62"/>
        <v/>
      </c>
      <c r="C514" s="149"/>
      <c r="D514" s="144" t="str">
        <f t="shared" si="63"/>
        <v/>
      </c>
      <c r="E514" s="183"/>
      <c r="F514" s="144" t="str">
        <f t="shared" si="64"/>
        <v/>
      </c>
      <c r="G514" s="182"/>
      <c r="H514" s="182"/>
      <c r="I514" s="182"/>
      <c r="K514" s="139" t="str">
        <f t="shared" si="60"/>
        <v/>
      </c>
      <c r="L514" s="139" t="str">
        <f t="shared" si="61"/>
        <v/>
      </c>
      <c r="V514" s="139" t="s">
        <v>1630</v>
      </c>
      <c r="W514" s="139" t="s">
        <v>1631</v>
      </c>
    </row>
    <row r="515" spans="1:23">
      <c r="A515" s="149"/>
      <c r="B515" s="144" t="str">
        <f t="shared" si="62"/>
        <v/>
      </c>
      <c r="C515" s="149"/>
      <c r="D515" s="144" t="str">
        <f t="shared" si="63"/>
        <v/>
      </c>
      <c r="E515" s="183"/>
      <c r="F515" s="144" t="str">
        <f t="shared" si="64"/>
        <v/>
      </c>
      <c r="G515" s="182"/>
      <c r="H515" s="182"/>
      <c r="I515" s="182"/>
      <c r="K515" s="139" t="str">
        <f t="shared" si="60"/>
        <v/>
      </c>
      <c r="L515" s="139" t="str">
        <f t="shared" si="61"/>
        <v/>
      </c>
      <c r="V515" s="139" t="s">
        <v>1632</v>
      </c>
      <c r="W515" s="139" t="s">
        <v>1633</v>
      </c>
    </row>
    <row r="516" spans="1:23">
      <c r="A516" s="149"/>
      <c r="B516" s="144" t="str">
        <f t="shared" si="62"/>
        <v/>
      </c>
      <c r="C516" s="149"/>
      <c r="D516" s="144" t="str">
        <f t="shared" si="63"/>
        <v/>
      </c>
      <c r="E516" s="183"/>
      <c r="F516" s="144" t="str">
        <f t="shared" si="64"/>
        <v/>
      </c>
      <c r="G516" s="182"/>
      <c r="H516" s="182"/>
      <c r="I516" s="182"/>
      <c r="K516" s="139" t="str">
        <f t="shared" si="60"/>
        <v/>
      </c>
      <c r="L516" s="139" t="str">
        <f t="shared" si="61"/>
        <v/>
      </c>
      <c r="V516" s="139" t="s">
        <v>1634</v>
      </c>
      <c r="W516" s="139" t="s">
        <v>1635</v>
      </c>
    </row>
    <row r="517" spans="1:23">
      <c r="A517" s="149"/>
      <c r="B517" s="144" t="str">
        <f t="shared" si="62"/>
        <v/>
      </c>
      <c r="C517" s="149"/>
      <c r="D517" s="144" t="str">
        <f t="shared" si="63"/>
        <v/>
      </c>
      <c r="E517" s="183"/>
      <c r="F517" s="144" t="str">
        <f t="shared" si="64"/>
        <v/>
      </c>
      <c r="G517" s="182"/>
      <c r="H517" s="182"/>
      <c r="I517" s="182"/>
      <c r="K517" s="139" t="str">
        <f t="shared" si="60"/>
        <v/>
      </c>
      <c r="L517" s="139" t="str">
        <f t="shared" si="61"/>
        <v/>
      </c>
      <c r="V517" s="139" t="s">
        <v>1636</v>
      </c>
      <c r="W517" s="139" t="s">
        <v>1637</v>
      </c>
    </row>
    <row r="518" spans="1:23">
      <c r="A518" s="149"/>
      <c r="B518" s="144" t="str">
        <f t="shared" si="62"/>
        <v/>
      </c>
      <c r="C518" s="149"/>
      <c r="D518" s="144" t="str">
        <f t="shared" si="63"/>
        <v/>
      </c>
      <c r="E518" s="183"/>
      <c r="F518" s="144" t="str">
        <f t="shared" si="64"/>
        <v/>
      </c>
      <c r="G518" s="182"/>
      <c r="H518" s="182"/>
      <c r="I518" s="182"/>
      <c r="K518" s="139" t="str">
        <f t="shared" si="60"/>
        <v/>
      </c>
      <c r="L518" s="139" t="str">
        <f t="shared" si="61"/>
        <v/>
      </c>
      <c r="V518" s="139" t="s">
        <v>1638</v>
      </c>
      <c r="W518" s="139" t="s">
        <v>1639</v>
      </c>
    </row>
    <row r="519" spans="1:23">
      <c r="A519" s="149"/>
      <c r="B519" s="144" t="str">
        <f t="shared" si="62"/>
        <v/>
      </c>
      <c r="C519" s="149"/>
      <c r="D519" s="144" t="str">
        <f t="shared" si="63"/>
        <v/>
      </c>
      <c r="E519" s="183"/>
      <c r="F519" s="144" t="str">
        <f t="shared" si="64"/>
        <v/>
      </c>
      <c r="G519" s="182"/>
      <c r="H519" s="182"/>
      <c r="I519" s="182"/>
      <c r="K519" s="139" t="str">
        <f t="shared" si="60"/>
        <v/>
      </c>
      <c r="L519" s="139" t="str">
        <f t="shared" si="61"/>
        <v/>
      </c>
      <c r="V519" s="139" t="s">
        <v>1640</v>
      </c>
      <c r="W519" s="139" t="s">
        <v>1641</v>
      </c>
    </row>
    <row r="520" spans="1:23">
      <c r="A520" s="149"/>
      <c r="B520" s="144" t="str">
        <f t="shared" si="62"/>
        <v/>
      </c>
      <c r="C520" s="149"/>
      <c r="D520" s="144" t="str">
        <f t="shared" si="63"/>
        <v/>
      </c>
      <c r="E520" s="183"/>
      <c r="F520" s="144" t="str">
        <f t="shared" si="64"/>
        <v/>
      </c>
      <c r="G520" s="182"/>
      <c r="H520" s="182"/>
      <c r="I520" s="182"/>
      <c r="K520" s="139" t="str">
        <f t="shared" si="60"/>
        <v/>
      </c>
      <c r="L520" s="139" t="str">
        <f t="shared" si="61"/>
        <v/>
      </c>
      <c r="V520" s="139" t="s">
        <v>1642</v>
      </c>
      <c r="W520" s="139" t="s">
        <v>1643</v>
      </c>
    </row>
    <row r="521" spans="1:23">
      <c r="A521" s="149"/>
      <c r="B521" s="144" t="str">
        <f t="shared" si="62"/>
        <v/>
      </c>
      <c r="C521" s="149"/>
      <c r="D521" s="144" t="str">
        <f t="shared" si="63"/>
        <v/>
      </c>
      <c r="E521" s="183"/>
      <c r="F521" s="144" t="str">
        <f t="shared" si="64"/>
        <v/>
      </c>
      <c r="G521" s="182"/>
      <c r="H521" s="182"/>
      <c r="I521" s="182"/>
      <c r="K521" s="139" t="str">
        <f t="shared" si="60"/>
        <v/>
      </c>
      <c r="L521" s="139" t="str">
        <f t="shared" si="61"/>
        <v/>
      </c>
      <c r="V521" s="139" t="s">
        <v>1644</v>
      </c>
      <c r="W521" s="139" t="s">
        <v>1645</v>
      </c>
    </row>
    <row r="522" spans="1:23">
      <c r="A522" s="149"/>
      <c r="B522" s="144" t="str">
        <f t="shared" si="62"/>
        <v/>
      </c>
      <c r="C522" s="149"/>
      <c r="D522" s="144" t="str">
        <f t="shared" si="63"/>
        <v/>
      </c>
      <c r="E522" s="183"/>
      <c r="F522" s="144" t="str">
        <f t="shared" si="64"/>
        <v/>
      </c>
      <c r="G522" s="182"/>
      <c r="H522" s="182"/>
      <c r="I522" s="182"/>
      <c r="K522" s="139" t="str">
        <f t="shared" si="60"/>
        <v/>
      </c>
      <c r="L522" s="139" t="str">
        <f t="shared" si="61"/>
        <v/>
      </c>
      <c r="V522" s="139" t="s">
        <v>1646</v>
      </c>
      <c r="W522" s="139" t="s">
        <v>1647</v>
      </c>
    </row>
    <row r="523" spans="1:23">
      <c r="A523" s="149"/>
      <c r="B523" s="144" t="str">
        <f t="shared" si="62"/>
        <v/>
      </c>
      <c r="C523" s="149"/>
      <c r="D523" s="144" t="str">
        <f t="shared" si="63"/>
        <v/>
      </c>
      <c r="E523" s="183"/>
      <c r="F523" s="144" t="str">
        <f t="shared" si="64"/>
        <v/>
      </c>
      <c r="G523" s="182"/>
      <c r="H523" s="182"/>
      <c r="I523" s="182"/>
      <c r="K523" s="139" t="str">
        <f t="shared" si="60"/>
        <v/>
      </c>
      <c r="L523" s="139" t="str">
        <f t="shared" si="61"/>
        <v/>
      </c>
      <c r="V523" s="139" t="s">
        <v>1648</v>
      </c>
      <c r="W523" s="139" t="s">
        <v>1649</v>
      </c>
    </row>
    <row r="524" spans="1:23">
      <c r="A524" s="149"/>
      <c r="B524" s="144" t="str">
        <f t="shared" si="62"/>
        <v/>
      </c>
      <c r="C524" s="149"/>
      <c r="D524" s="144" t="str">
        <f t="shared" si="63"/>
        <v/>
      </c>
      <c r="E524" s="183"/>
      <c r="F524" s="144" t="str">
        <f t="shared" si="64"/>
        <v/>
      </c>
      <c r="G524" s="182"/>
      <c r="H524" s="182"/>
      <c r="I524" s="182"/>
      <c r="K524" s="139" t="str">
        <f t="shared" si="60"/>
        <v/>
      </c>
      <c r="L524" s="139" t="str">
        <f t="shared" si="61"/>
        <v/>
      </c>
      <c r="V524" s="139" t="s">
        <v>1650</v>
      </c>
      <c r="W524" s="139" t="s">
        <v>1651</v>
      </c>
    </row>
    <row r="525" spans="1:23">
      <c r="A525" s="149"/>
      <c r="B525" s="144" t="str">
        <f t="shared" si="62"/>
        <v/>
      </c>
      <c r="C525" s="149"/>
      <c r="D525" s="144" t="str">
        <f t="shared" si="63"/>
        <v/>
      </c>
      <c r="E525" s="183"/>
      <c r="F525" s="144" t="str">
        <f t="shared" si="64"/>
        <v/>
      </c>
      <c r="G525" s="182"/>
      <c r="H525" s="182"/>
      <c r="I525" s="182"/>
      <c r="K525" s="139" t="str">
        <f t="shared" si="60"/>
        <v/>
      </c>
      <c r="L525" s="139" t="str">
        <f t="shared" si="61"/>
        <v/>
      </c>
      <c r="V525" s="139" t="s">
        <v>1652</v>
      </c>
      <c r="W525" s="139" t="s">
        <v>1653</v>
      </c>
    </row>
    <row r="526" spans="1:23">
      <c r="A526" s="149"/>
      <c r="B526" s="144" t="str">
        <f t="shared" si="62"/>
        <v/>
      </c>
      <c r="C526" s="149"/>
      <c r="D526" s="144" t="str">
        <f t="shared" si="63"/>
        <v/>
      </c>
      <c r="E526" s="183"/>
      <c r="F526" s="144" t="str">
        <f t="shared" si="64"/>
        <v/>
      </c>
      <c r="G526" s="182"/>
      <c r="H526" s="182"/>
      <c r="I526" s="182"/>
      <c r="K526" s="139" t="str">
        <f t="shared" si="60"/>
        <v/>
      </c>
      <c r="L526" s="139" t="str">
        <f t="shared" si="61"/>
        <v/>
      </c>
      <c r="V526" s="139" t="s">
        <v>1654</v>
      </c>
      <c r="W526" s="139" t="s">
        <v>1655</v>
      </c>
    </row>
    <row r="527" spans="1:23">
      <c r="A527" s="149"/>
      <c r="B527" s="144" t="str">
        <f t="shared" si="62"/>
        <v/>
      </c>
      <c r="C527" s="149"/>
      <c r="D527" s="144" t="str">
        <f t="shared" si="63"/>
        <v/>
      </c>
      <c r="E527" s="183"/>
      <c r="F527" s="144" t="str">
        <f t="shared" si="64"/>
        <v/>
      </c>
      <c r="G527" s="182"/>
      <c r="H527" s="182"/>
      <c r="I527" s="182"/>
      <c r="K527" s="139" t="str">
        <f t="shared" si="60"/>
        <v/>
      </c>
      <c r="L527" s="139" t="str">
        <f t="shared" si="61"/>
        <v/>
      </c>
      <c r="V527" s="139" t="s">
        <v>1656</v>
      </c>
      <c r="W527" s="139" t="s">
        <v>1657</v>
      </c>
    </row>
    <row r="528" spans="1:23">
      <c r="A528" s="149"/>
      <c r="B528" s="144" t="str">
        <f t="shared" si="62"/>
        <v/>
      </c>
      <c r="C528" s="149"/>
      <c r="D528" s="144" t="str">
        <f t="shared" si="63"/>
        <v/>
      </c>
      <c r="E528" s="183"/>
      <c r="F528" s="144" t="str">
        <f t="shared" si="64"/>
        <v/>
      </c>
      <c r="G528" s="182"/>
      <c r="H528" s="182"/>
      <c r="I528" s="182"/>
      <c r="K528" s="139" t="str">
        <f t="shared" si="60"/>
        <v/>
      </c>
      <c r="L528" s="139" t="str">
        <f t="shared" si="61"/>
        <v/>
      </c>
      <c r="V528" s="139" t="s">
        <v>1658</v>
      </c>
      <c r="W528" s="139" t="s">
        <v>1659</v>
      </c>
    </row>
    <row r="529" spans="1:23">
      <c r="A529" s="149"/>
      <c r="B529" s="144" t="str">
        <f t="shared" si="62"/>
        <v/>
      </c>
      <c r="C529" s="149"/>
      <c r="D529" s="144" t="str">
        <f t="shared" si="63"/>
        <v/>
      </c>
      <c r="E529" s="183"/>
      <c r="F529" s="144" t="str">
        <f t="shared" si="64"/>
        <v/>
      </c>
      <c r="G529" s="182"/>
      <c r="H529" s="182"/>
      <c r="I529" s="182"/>
      <c r="K529" s="139" t="str">
        <f t="shared" si="60"/>
        <v/>
      </c>
      <c r="L529" s="139" t="str">
        <f t="shared" si="61"/>
        <v/>
      </c>
      <c r="V529" s="139" t="s">
        <v>1660</v>
      </c>
      <c r="W529" s="139" t="s">
        <v>1661</v>
      </c>
    </row>
    <row r="530" spans="1:23">
      <c r="A530" s="149"/>
      <c r="B530" s="144" t="str">
        <f t="shared" si="62"/>
        <v/>
      </c>
      <c r="C530" s="149"/>
      <c r="D530" s="144" t="str">
        <f t="shared" si="63"/>
        <v/>
      </c>
      <c r="E530" s="183"/>
      <c r="F530" s="144" t="str">
        <f t="shared" si="64"/>
        <v/>
      </c>
      <c r="G530" s="182"/>
      <c r="H530" s="182"/>
      <c r="I530" s="182"/>
      <c r="K530" s="139" t="str">
        <f t="shared" si="60"/>
        <v/>
      </c>
      <c r="L530" s="139" t="str">
        <f t="shared" si="61"/>
        <v/>
      </c>
      <c r="V530" s="139" t="s">
        <v>1662</v>
      </c>
      <c r="W530" s="139" t="s">
        <v>1663</v>
      </c>
    </row>
    <row r="531" spans="1:23">
      <c r="A531" s="149"/>
      <c r="B531" s="144" t="str">
        <f t="shared" si="62"/>
        <v/>
      </c>
      <c r="C531" s="149"/>
      <c r="D531" s="144" t="str">
        <f t="shared" si="63"/>
        <v/>
      </c>
      <c r="E531" s="183"/>
      <c r="F531" s="144" t="str">
        <f t="shared" si="64"/>
        <v/>
      </c>
      <c r="G531" s="182"/>
      <c r="H531" s="182"/>
      <c r="I531" s="182"/>
      <c r="K531" s="139" t="str">
        <f t="shared" si="60"/>
        <v/>
      </c>
      <c r="L531" s="139" t="str">
        <f t="shared" si="61"/>
        <v/>
      </c>
      <c r="V531" s="139" t="s">
        <v>1664</v>
      </c>
      <c r="W531" s="139" t="s">
        <v>1665</v>
      </c>
    </row>
    <row r="532" spans="1:23">
      <c r="A532" s="149"/>
      <c r="B532" s="144" t="str">
        <f t="shared" si="62"/>
        <v/>
      </c>
      <c r="C532" s="149"/>
      <c r="D532" s="144" t="str">
        <f t="shared" si="63"/>
        <v/>
      </c>
      <c r="E532" s="183"/>
      <c r="F532" s="144" t="str">
        <f t="shared" si="64"/>
        <v/>
      </c>
      <c r="G532" s="182"/>
      <c r="H532" s="182"/>
      <c r="I532" s="182"/>
      <c r="K532" s="139" t="str">
        <f t="shared" si="60"/>
        <v/>
      </c>
      <c r="L532" s="139" t="str">
        <f t="shared" si="61"/>
        <v/>
      </c>
      <c r="V532" s="139" t="s">
        <v>1666</v>
      </c>
      <c r="W532" s="139" t="s">
        <v>1667</v>
      </c>
    </row>
    <row r="533" spans="1:23">
      <c r="A533" s="149"/>
      <c r="B533" s="144" t="str">
        <f t="shared" si="62"/>
        <v/>
      </c>
      <c r="C533" s="149"/>
      <c r="D533" s="144" t="str">
        <f t="shared" si="63"/>
        <v/>
      </c>
      <c r="E533" s="183"/>
      <c r="F533" s="144" t="str">
        <f t="shared" si="64"/>
        <v/>
      </c>
      <c r="G533" s="182"/>
      <c r="H533" s="182"/>
      <c r="I533" s="182"/>
      <c r="K533" s="139" t="str">
        <f t="shared" si="60"/>
        <v/>
      </c>
      <c r="L533" s="139" t="str">
        <f t="shared" si="61"/>
        <v/>
      </c>
      <c r="V533" s="139" t="s">
        <v>1668</v>
      </c>
      <c r="W533" s="139" t="s">
        <v>1669</v>
      </c>
    </row>
    <row r="534" spans="1:23">
      <c r="A534" s="149"/>
      <c r="B534" s="144" t="str">
        <f t="shared" si="62"/>
        <v/>
      </c>
      <c r="C534" s="149"/>
      <c r="D534" s="144" t="str">
        <f t="shared" si="63"/>
        <v/>
      </c>
      <c r="E534" s="183"/>
      <c r="F534" s="144" t="str">
        <f t="shared" si="64"/>
        <v/>
      </c>
      <c r="G534" s="182"/>
      <c r="H534" s="182"/>
      <c r="I534" s="182"/>
      <c r="K534" s="139" t="str">
        <f t="shared" si="60"/>
        <v/>
      </c>
      <c r="L534" s="139" t="str">
        <f t="shared" si="61"/>
        <v/>
      </c>
      <c r="V534" s="139" t="s">
        <v>1670</v>
      </c>
      <c r="W534" s="139" t="s">
        <v>1671</v>
      </c>
    </row>
    <row r="535" spans="1:23">
      <c r="A535" s="149"/>
      <c r="B535" s="144" t="str">
        <f t="shared" si="62"/>
        <v/>
      </c>
      <c r="C535" s="149"/>
      <c r="D535" s="144" t="str">
        <f t="shared" si="63"/>
        <v/>
      </c>
      <c r="E535" s="183"/>
      <c r="F535" s="144" t="str">
        <f t="shared" si="64"/>
        <v/>
      </c>
      <c r="G535" s="182"/>
      <c r="H535" s="182"/>
      <c r="I535" s="182"/>
      <c r="K535" s="139" t="str">
        <f t="shared" si="60"/>
        <v/>
      </c>
      <c r="L535" s="139" t="str">
        <f t="shared" si="61"/>
        <v/>
      </c>
      <c r="V535" s="139" t="s">
        <v>1672</v>
      </c>
      <c r="W535" s="139" t="s">
        <v>1673</v>
      </c>
    </row>
    <row r="536" spans="1:23">
      <c r="A536" s="149"/>
      <c r="B536" s="144" t="str">
        <f t="shared" si="62"/>
        <v/>
      </c>
      <c r="C536" s="149"/>
      <c r="D536" s="144" t="str">
        <f t="shared" si="63"/>
        <v/>
      </c>
      <c r="E536" s="183"/>
      <c r="F536" s="144" t="str">
        <f t="shared" si="64"/>
        <v/>
      </c>
      <c r="G536" s="182"/>
      <c r="H536" s="182"/>
      <c r="I536" s="182"/>
      <c r="K536" s="139" t="str">
        <f t="shared" si="60"/>
        <v/>
      </c>
      <c r="L536" s="139" t="str">
        <f t="shared" si="61"/>
        <v/>
      </c>
      <c r="V536" s="139" t="s">
        <v>1674</v>
      </c>
      <c r="W536" s="139" t="s">
        <v>1675</v>
      </c>
    </row>
    <row r="537" spans="1:23">
      <c r="A537" s="149"/>
      <c r="B537" s="144" t="str">
        <f t="shared" si="62"/>
        <v/>
      </c>
      <c r="C537" s="149"/>
      <c r="D537" s="144" t="str">
        <f t="shared" si="63"/>
        <v/>
      </c>
      <c r="E537" s="183"/>
      <c r="F537" s="144" t="str">
        <f t="shared" si="64"/>
        <v/>
      </c>
      <c r="G537" s="182"/>
      <c r="H537" s="182"/>
      <c r="I537" s="182"/>
      <c r="K537" s="139" t="str">
        <f t="shared" ref="K537:K586" si="65">LEFT(C537,3)</f>
        <v/>
      </c>
      <c r="L537" s="139" t="str">
        <f t="shared" ref="L537:L586" si="66">LEFT(C537,2)</f>
        <v/>
      </c>
      <c r="V537" s="139" t="s">
        <v>1676</v>
      </c>
      <c r="W537" s="139" t="s">
        <v>1677</v>
      </c>
    </row>
    <row r="538" spans="1:23">
      <c r="A538" s="149"/>
      <c r="B538" s="144" t="str">
        <f t="shared" si="62"/>
        <v/>
      </c>
      <c r="C538" s="149"/>
      <c r="D538" s="144" t="str">
        <f t="shared" si="63"/>
        <v/>
      </c>
      <c r="E538" s="183"/>
      <c r="F538" s="144" t="str">
        <f t="shared" si="64"/>
        <v/>
      </c>
      <c r="G538" s="182"/>
      <c r="H538" s="182"/>
      <c r="I538" s="182"/>
      <c r="K538" s="139" t="str">
        <f t="shared" si="65"/>
        <v/>
      </c>
      <c r="L538" s="139" t="str">
        <f t="shared" si="66"/>
        <v/>
      </c>
      <c r="V538" s="139" t="s">
        <v>1678</v>
      </c>
      <c r="W538" s="139" t="s">
        <v>1679</v>
      </c>
    </row>
    <row r="539" spans="1:23">
      <c r="A539" s="149"/>
      <c r="B539" s="144" t="str">
        <f t="shared" si="62"/>
        <v/>
      </c>
      <c r="C539" s="149"/>
      <c r="D539" s="144" t="str">
        <f t="shared" si="63"/>
        <v/>
      </c>
      <c r="E539" s="183"/>
      <c r="F539" s="144" t="str">
        <f t="shared" si="64"/>
        <v/>
      </c>
      <c r="G539" s="182"/>
      <c r="H539" s="182"/>
      <c r="I539" s="182"/>
      <c r="K539" s="139" t="str">
        <f t="shared" si="65"/>
        <v/>
      </c>
      <c r="L539" s="139" t="str">
        <f t="shared" si="66"/>
        <v/>
      </c>
      <c r="V539" s="139" t="s">
        <v>1680</v>
      </c>
      <c r="W539" s="139" t="s">
        <v>1681</v>
      </c>
    </row>
    <row r="540" spans="1:23">
      <c r="A540" s="149"/>
      <c r="B540" s="144" t="str">
        <f t="shared" si="62"/>
        <v/>
      </c>
      <c r="C540" s="149"/>
      <c r="D540" s="144" t="str">
        <f t="shared" si="63"/>
        <v/>
      </c>
      <c r="E540" s="183"/>
      <c r="F540" s="144" t="str">
        <f t="shared" si="64"/>
        <v/>
      </c>
      <c r="G540" s="182"/>
      <c r="H540" s="182"/>
      <c r="I540" s="182"/>
      <c r="K540" s="139" t="str">
        <f t="shared" si="65"/>
        <v/>
      </c>
      <c r="L540" s="139" t="str">
        <f t="shared" si="66"/>
        <v/>
      </c>
      <c r="V540" s="139" t="s">
        <v>1682</v>
      </c>
      <c r="W540" s="139" t="s">
        <v>1683</v>
      </c>
    </row>
    <row r="541" spans="1:23">
      <c r="A541" s="149"/>
      <c r="B541" s="144" t="str">
        <f t="shared" si="62"/>
        <v/>
      </c>
      <c r="C541" s="149"/>
      <c r="D541" s="144" t="str">
        <f t="shared" si="63"/>
        <v/>
      </c>
      <c r="E541" s="183"/>
      <c r="F541" s="144" t="str">
        <f t="shared" si="64"/>
        <v/>
      </c>
      <c r="G541" s="182"/>
      <c r="H541" s="182"/>
      <c r="I541" s="182"/>
      <c r="K541" s="139" t="str">
        <f t="shared" si="65"/>
        <v/>
      </c>
      <c r="L541" s="139" t="str">
        <f t="shared" si="66"/>
        <v/>
      </c>
      <c r="V541" s="139" t="s">
        <v>1684</v>
      </c>
      <c r="W541" s="139" t="s">
        <v>1685</v>
      </c>
    </row>
    <row r="542" spans="1:23">
      <c r="A542" s="149"/>
      <c r="B542" s="144" t="str">
        <f t="shared" si="62"/>
        <v/>
      </c>
      <c r="C542" s="149"/>
      <c r="D542" s="144" t="str">
        <f t="shared" si="63"/>
        <v/>
      </c>
      <c r="E542" s="183"/>
      <c r="F542" s="144" t="str">
        <f t="shared" si="64"/>
        <v/>
      </c>
      <c r="G542" s="182"/>
      <c r="H542" s="182"/>
      <c r="I542" s="182"/>
      <c r="K542" s="139" t="str">
        <f t="shared" si="65"/>
        <v/>
      </c>
      <c r="L542" s="139" t="str">
        <f t="shared" si="66"/>
        <v/>
      </c>
      <c r="V542" s="139" t="s">
        <v>1686</v>
      </c>
      <c r="W542" s="139" t="s">
        <v>1687</v>
      </c>
    </row>
    <row r="543" spans="1:23">
      <c r="A543" s="149"/>
      <c r="B543" s="144" t="str">
        <f t="shared" si="62"/>
        <v/>
      </c>
      <c r="C543" s="149"/>
      <c r="D543" s="144" t="str">
        <f t="shared" si="63"/>
        <v/>
      </c>
      <c r="E543" s="183"/>
      <c r="F543" s="144" t="str">
        <f t="shared" si="64"/>
        <v/>
      </c>
      <c r="G543" s="182"/>
      <c r="H543" s="182"/>
      <c r="I543" s="182"/>
      <c r="K543" s="139" t="str">
        <f t="shared" si="65"/>
        <v/>
      </c>
      <c r="L543" s="139" t="str">
        <f t="shared" si="66"/>
        <v/>
      </c>
      <c r="V543" s="139" t="s">
        <v>1688</v>
      </c>
      <c r="W543" s="139" t="s">
        <v>1689</v>
      </c>
    </row>
    <row r="544" spans="1:23">
      <c r="A544" s="149"/>
      <c r="B544" s="144" t="str">
        <f t="shared" si="62"/>
        <v/>
      </c>
      <c r="C544" s="149"/>
      <c r="D544" s="144" t="str">
        <f t="shared" si="63"/>
        <v/>
      </c>
      <c r="E544" s="183"/>
      <c r="F544" s="144" t="str">
        <f t="shared" si="64"/>
        <v/>
      </c>
      <c r="G544" s="182"/>
      <c r="H544" s="182"/>
      <c r="I544" s="182"/>
      <c r="K544" s="139" t="str">
        <f t="shared" si="65"/>
        <v/>
      </c>
      <c r="L544" s="139" t="str">
        <f t="shared" si="66"/>
        <v/>
      </c>
      <c r="V544" s="139" t="s">
        <v>1690</v>
      </c>
      <c r="W544" s="139" t="s">
        <v>1691</v>
      </c>
    </row>
    <row r="545" spans="1:23">
      <c r="A545" s="149"/>
      <c r="B545" s="144" t="str">
        <f t="shared" si="62"/>
        <v/>
      </c>
      <c r="C545" s="149"/>
      <c r="D545" s="144" t="str">
        <f t="shared" si="63"/>
        <v/>
      </c>
      <c r="E545" s="183"/>
      <c r="F545" s="144" t="str">
        <f t="shared" si="64"/>
        <v/>
      </c>
      <c r="G545" s="182"/>
      <c r="H545" s="182"/>
      <c r="I545" s="182"/>
      <c r="K545" s="139" t="str">
        <f t="shared" si="65"/>
        <v/>
      </c>
      <c r="L545" s="139" t="str">
        <f t="shared" si="66"/>
        <v/>
      </c>
      <c r="V545" s="139" t="s">
        <v>1692</v>
      </c>
      <c r="W545" s="139" t="s">
        <v>1693</v>
      </c>
    </row>
    <row r="546" spans="1:23">
      <c r="A546" s="149"/>
      <c r="B546" s="144" t="str">
        <f t="shared" si="62"/>
        <v/>
      </c>
      <c r="C546" s="149"/>
      <c r="D546" s="144" t="str">
        <f t="shared" si="63"/>
        <v/>
      </c>
      <c r="E546" s="183"/>
      <c r="F546" s="144" t="str">
        <f t="shared" si="64"/>
        <v/>
      </c>
      <c r="G546" s="182"/>
      <c r="H546" s="182"/>
      <c r="I546" s="182"/>
      <c r="K546" s="139" t="str">
        <f t="shared" si="65"/>
        <v/>
      </c>
      <c r="L546" s="139" t="str">
        <f t="shared" si="66"/>
        <v/>
      </c>
      <c r="V546" s="139" t="s">
        <v>1694</v>
      </c>
      <c r="W546" s="139" t="s">
        <v>1695</v>
      </c>
    </row>
    <row r="547" spans="1:23">
      <c r="A547" s="149"/>
      <c r="B547" s="144" t="str">
        <f t="shared" si="62"/>
        <v/>
      </c>
      <c r="C547" s="149"/>
      <c r="D547" s="144" t="str">
        <f t="shared" si="63"/>
        <v/>
      </c>
      <c r="E547" s="183"/>
      <c r="F547" s="144" t="str">
        <f t="shared" si="64"/>
        <v/>
      </c>
      <c r="G547" s="182"/>
      <c r="H547" s="182"/>
      <c r="I547" s="182"/>
      <c r="K547" s="139" t="str">
        <f t="shared" si="65"/>
        <v/>
      </c>
      <c r="L547" s="139" t="str">
        <f t="shared" si="66"/>
        <v/>
      </c>
      <c r="V547" s="139" t="s">
        <v>1696</v>
      </c>
      <c r="W547" s="139" t="s">
        <v>1697</v>
      </c>
    </row>
    <row r="548" spans="1:23">
      <c r="A548" s="149"/>
      <c r="B548" s="144" t="str">
        <f t="shared" si="62"/>
        <v/>
      </c>
      <c r="C548" s="149"/>
      <c r="D548" s="144" t="str">
        <f t="shared" si="63"/>
        <v/>
      </c>
      <c r="E548" s="183"/>
      <c r="F548" s="144" t="str">
        <f t="shared" si="64"/>
        <v/>
      </c>
      <c r="G548" s="182"/>
      <c r="H548" s="182"/>
      <c r="I548" s="182"/>
      <c r="K548" s="139" t="str">
        <f t="shared" si="65"/>
        <v/>
      </c>
      <c r="L548" s="139" t="str">
        <f t="shared" si="66"/>
        <v/>
      </c>
      <c r="V548" s="139" t="s">
        <v>1698</v>
      </c>
      <c r="W548" s="139" t="s">
        <v>1699</v>
      </c>
    </row>
    <row r="549" spans="1:23">
      <c r="A549" s="149"/>
      <c r="B549" s="144" t="str">
        <f t="shared" si="62"/>
        <v/>
      </c>
      <c r="C549" s="149"/>
      <c r="D549" s="144" t="str">
        <f t="shared" si="63"/>
        <v/>
      </c>
      <c r="E549" s="183"/>
      <c r="F549" s="144" t="str">
        <f t="shared" si="64"/>
        <v/>
      </c>
      <c r="G549" s="182"/>
      <c r="H549" s="182"/>
      <c r="I549" s="182"/>
      <c r="K549" s="139" t="str">
        <f t="shared" si="65"/>
        <v/>
      </c>
      <c r="L549" s="139" t="str">
        <f t="shared" si="66"/>
        <v/>
      </c>
      <c r="V549" s="139" t="s">
        <v>1700</v>
      </c>
      <c r="W549" s="139" t="s">
        <v>1701</v>
      </c>
    </row>
    <row r="550" spans="1:23">
      <c r="A550" s="149"/>
      <c r="B550" s="144" t="str">
        <f t="shared" si="62"/>
        <v/>
      </c>
      <c r="C550" s="149"/>
      <c r="D550" s="144" t="str">
        <f t="shared" si="63"/>
        <v/>
      </c>
      <c r="E550" s="183"/>
      <c r="F550" s="144" t="str">
        <f t="shared" si="64"/>
        <v/>
      </c>
      <c r="G550" s="182"/>
      <c r="H550" s="182"/>
      <c r="I550" s="182"/>
      <c r="K550" s="139" t="str">
        <f t="shared" si="65"/>
        <v/>
      </c>
      <c r="L550" s="139" t="str">
        <f t="shared" si="66"/>
        <v/>
      </c>
      <c r="V550" s="139" t="s">
        <v>1702</v>
      </c>
      <c r="W550" s="139" t="s">
        <v>1703</v>
      </c>
    </row>
    <row r="551" spans="1:23">
      <c r="A551" s="149"/>
      <c r="B551" s="144" t="str">
        <f t="shared" ref="B551:B586" si="67">IFERROR(VLOOKUP(A551,$M$7:$N$37,2,FALSE),"")</f>
        <v/>
      </c>
      <c r="C551" s="149"/>
      <c r="D551" s="144" t="str">
        <f t="shared" si="63"/>
        <v/>
      </c>
      <c r="E551" s="183"/>
      <c r="F551" s="144" t="str">
        <f t="shared" si="64"/>
        <v/>
      </c>
      <c r="G551" s="182"/>
      <c r="H551" s="182"/>
      <c r="I551" s="182"/>
      <c r="K551" s="139" t="str">
        <f t="shared" si="65"/>
        <v/>
      </c>
      <c r="L551" s="139" t="str">
        <f t="shared" si="66"/>
        <v/>
      </c>
      <c r="V551" s="139" t="s">
        <v>1704</v>
      </c>
      <c r="W551" s="139" t="s">
        <v>1705</v>
      </c>
    </row>
    <row r="552" spans="1:23">
      <c r="A552" s="149"/>
      <c r="B552" s="144" t="str">
        <f t="shared" si="67"/>
        <v/>
      </c>
      <c r="C552" s="149"/>
      <c r="D552" s="144" t="str">
        <f t="shared" ref="D552:D586" si="68">IFERROR(VLOOKUP(C552,$P$6:$R$214,2,FALSE),"")</f>
        <v/>
      </c>
      <c r="E552" s="183"/>
      <c r="F552" s="144" t="str">
        <f t="shared" ref="F552:F586" si="69">IFERROR(VLOOKUP(E552,$V$7:$W$1103,2,FALSE),"")</f>
        <v/>
      </c>
      <c r="G552" s="182"/>
      <c r="H552" s="182"/>
      <c r="I552" s="182"/>
      <c r="K552" s="139" t="str">
        <f t="shared" si="65"/>
        <v/>
      </c>
      <c r="L552" s="139" t="str">
        <f t="shared" si="66"/>
        <v/>
      </c>
      <c r="V552" s="139" t="s">
        <v>1706</v>
      </c>
      <c r="W552" s="139" t="s">
        <v>1707</v>
      </c>
    </row>
    <row r="553" spans="1:23">
      <c r="A553" s="149"/>
      <c r="B553" s="144" t="str">
        <f t="shared" si="67"/>
        <v/>
      </c>
      <c r="C553" s="149"/>
      <c r="D553" s="144" t="str">
        <f t="shared" si="68"/>
        <v/>
      </c>
      <c r="E553" s="183"/>
      <c r="F553" s="144" t="str">
        <f t="shared" si="69"/>
        <v/>
      </c>
      <c r="G553" s="182"/>
      <c r="H553" s="182"/>
      <c r="I553" s="182"/>
      <c r="K553" s="139" t="str">
        <f t="shared" si="65"/>
        <v/>
      </c>
      <c r="L553" s="139" t="str">
        <f t="shared" si="66"/>
        <v/>
      </c>
      <c r="V553" s="139" t="s">
        <v>1708</v>
      </c>
      <c r="W553" s="139" t="s">
        <v>1709</v>
      </c>
    </row>
    <row r="554" spans="1:23">
      <c r="A554" s="149"/>
      <c r="B554" s="144" t="str">
        <f t="shared" si="67"/>
        <v/>
      </c>
      <c r="C554" s="149"/>
      <c r="D554" s="144" t="str">
        <f t="shared" si="68"/>
        <v/>
      </c>
      <c r="E554" s="183"/>
      <c r="F554" s="144" t="str">
        <f t="shared" si="69"/>
        <v/>
      </c>
      <c r="G554" s="182"/>
      <c r="H554" s="182"/>
      <c r="I554" s="182"/>
      <c r="K554" s="139" t="str">
        <f t="shared" si="65"/>
        <v/>
      </c>
      <c r="L554" s="139" t="str">
        <f t="shared" si="66"/>
        <v/>
      </c>
      <c r="V554" s="139" t="s">
        <v>1710</v>
      </c>
      <c r="W554" s="139" t="s">
        <v>1711</v>
      </c>
    </row>
    <row r="555" spans="1:23">
      <c r="A555" s="149"/>
      <c r="B555" s="144" t="str">
        <f t="shared" si="67"/>
        <v/>
      </c>
      <c r="C555" s="149"/>
      <c r="D555" s="144" t="str">
        <f t="shared" si="68"/>
        <v/>
      </c>
      <c r="E555" s="183"/>
      <c r="F555" s="144" t="str">
        <f t="shared" si="69"/>
        <v/>
      </c>
      <c r="G555" s="182"/>
      <c r="H555" s="182"/>
      <c r="I555" s="182"/>
      <c r="K555" s="139" t="str">
        <f t="shared" si="65"/>
        <v/>
      </c>
      <c r="L555" s="139" t="str">
        <f t="shared" si="66"/>
        <v/>
      </c>
      <c r="V555" s="139" t="s">
        <v>1712</v>
      </c>
      <c r="W555" s="139" t="s">
        <v>1713</v>
      </c>
    </row>
    <row r="556" spans="1:23">
      <c r="A556" s="149"/>
      <c r="B556" s="144" t="str">
        <f t="shared" si="67"/>
        <v/>
      </c>
      <c r="C556" s="149"/>
      <c r="D556" s="144" t="str">
        <f t="shared" si="68"/>
        <v/>
      </c>
      <c r="E556" s="183"/>
      <c r="F556" s="144" t="str">
        <f t="shared" si="69"/>
        <v/>
      </c>
      <c r="G556" s="182"/>
      <c r="H556" s="182"/>
      <c r="I556" s="182"/>
      <c r="K556" s="139" t="str">
        <f t="shared" si="65"/>
        <v/>
      </c>
      <c r="L556" s="139" t="str">
        <f t="shared" si="66"/>
        <v/>
      </c>
      <c r="V556" s="139" t="s">
        <v>1714</v>
      </c>
      <c r="W556" s="139" t="s">
        <v>1715</v>
      </c>
    </row>
    <row r="557" spans="1:23">
      <c r="A557" s="149"/>
      <c r="B557" s="144" t="str">
        <f t="shared" si="67"/>
        <v/>
      </c>
      <c r="C557" s="149"/>
      <c r="D557" s="144" t="str">
        <f t="shared" si="68"/>
        <v/>
      </c>
      <c r="E557" s="183"/>
      <c r="F557" s="144" t="str">
        <f t="shared" si="69"/>
        <v/>
      </c>
      <c r="G557" s="182"/>
      <c r="H557" s="182"/>
      <c r="I557" s="182"/>
      <c r="K557" s="139" t="str">
        <f t="shared" si="65"/>
        <v/>
      </c>
      <c r="L557" s="139" t="str">
        <f t="shared" si="66"/>
        <v/>
      </c>
      <c r="V557" s="139" t="s">
        <v>1716</v>
      </c>
      <c r="W557" s="139" t="s">
        <v>1717</v>
      </c>
    </row>
    <row r="558" spans="1:23">
      <c r="A558" s="149"/>
      <c r="B558" s="144" t="str">
        <f t="shared" si="67"/>
        <v/>
      </c>
      <c r="C558" s="149"/>
      <c r="D558" s="144" t="str">
        <f t="shared" si="68"/>
        <v/>
      </c>
      <c r="E558" s="183"/>
      <c r="F558" s="144" t="str">
        <f t="shared" si="69"/>
        <v/>
      </c>
      <c r="G558" s="182"/>
      <c r="H558" s="182"/>
      <c r="I558" s="182"/>
      <c r="K558" s="139" t="str">
        <f t="shared" si="65"/>
        <v/>
      </c>
      <c r="L558" s="139" t="str">
        <f t="shared" si="66"/>
        <v/>
      </c>
      <c r="V558" s="139" t="s">
        <v>1718</v>
      </c>
      <c r="W558" s="139" t="s">
        <v>1719</v>
      </c>
    </row>
    <row r="559" spans="1:23">
      <c r="A559" s="149"/>
      <c r="B559" s="144" t="str">
        <f t="shared" si="67"/>
        <v/>
      </c>
      <c r="C559" s="149"/>
      <c r="D559" s="144" t="str">
        <f t="shared" si="68"/>
        <v/>
      </c>
      <c r="E559" s="183"/>
      <c r="F559" s="144" t="str">
        <f t="shared" si="69"/>
        <v/>
      </c>
      <c r="G559" s="182"/>
      <c r="H559" s="182"/>
      <c r="I559" s="182"/>
      <c r="K559" s="139" t="str">
        <f t="shared" si="65"/>
        <v/>
      </c>
      <c r="L559" s="139" t="str">
        <f t="shared" si="66"/>
        <v/>
      </c>
      <c r="V559" s="139" t="s">
        <v>1720</v>
      </c>
      <c r="W559" s="139" t="s">
        <v>1721</v>
      </c>
    </row>
    <row r="560" spans="1:23">
      <c r="A560" s="149"/>
      <c r="B560" s="144" t="str">
        <f t="shared" si="67"/>
        <v/>
      </c>
      <c r="C560" s="149"/>
      <c r="D560" s="144" t="str">
        <f t="shared" si="68"/>
        <v/>
      </c>
      <c r="E560" s="183"/>
      <c r="F560" s="144" t="str">
        <f t="shared" si="69"/>
        <v/>
      </c>
      <c r="G560" s="182"/>
      <c r="H560" s="182"/>
      <c r="I560" s="182"/>
      <c r="K560" s="139" t="str">
        <f t="shared" si="65"/>
        <v/>
      </c>
      <c r="L560" s="139" t="str">
        <f t="shared" si="66"/>
        <v/>
      </c>
      <c r="V560" s="139" t="s">
        <v>1722</v>
      </c>
      <c r="W560" s="139" t="s">
        <v>1723</v>
      </c>
    </row>
    <row r="561" spans="1:23">
      <c r="A561" s="149"/>
      <c r="B561" s="144" t="str">
        <f t="shared" si="67"/>
        <v/>
      </c>
      <c r="C561" s="149"/>
      <c r="D561" s="144" t="str">
        <f t="shared" si="68"/>
        <v/>
      </c>
      <c r="E561" s="183"/>
      <c r="F561" s="144" t="str">
        <f t="shared" si="69"/>
        <v/>
      </c>
      <c r="G561" s="182"/>
      <c r="H561" s="182"/>
      <c r="I561" s="182"/>
      <c r="K561" s="139" t="str">
        <f t="shared" si="65"/>
        <v/>
      </c>
      <c r="L561" s="139" t="str">
        <f t="shared" si="66"/>
        <v/>
      </c>
      <c r="V561" s="139" t="s">
        <v>1724</v>
      </c>
      <c r="W561" s="139" t="s">
        <v>1725</v>
      </c>
    </row>
    <row r="562" spans="1:23">
      <c r="A562" s="149"/>
      <c r="B562" s="144" t="str">
        <f t="shared" si="67"/>
        <v/>
      </c>
      <c r="C562" s="149"/>
      <c r="D562" s="144" t="str">
        <f t="shared" si="68"/>
        <v/>
      </c>
      <c r="E562" s="183"/>
      <c r="F562" s="144" t="str">
        <f t="shared" si="69"/>
        <v/>
      </c>
      <c r="G562" s="182"/>
      <c r="H562" s="182"/>
      <c r="I562" s="182"/>
      <c r="K562" s="139" t="str">
        <f t="shared" si="65"/>
        <v/>
      </c>
      <c r="L562" s="139" t="str">
        <f t="shared" si="66"/>
        <v/>
      </c>
      <c r="V562" s="139" t="s">
        <v>1726</v>
      </c>
      <c r="W562" s="139" t="s">
        <v>1727</v>
      </c>
    </row>
    <row r="563" spans="1:23">
      <c r="A563" s="149"/>
      <c r="B563" s="144" t="str">
        <f t="shared" si="67"/>
        <v/>
      </c>
      <c r="C563" s="149"/>
      <c r="D563" s="144" t="str">
        <f t="shared" si="68"/>
        <v/>
      </c>
      <c r="E563" s="183"/>
      <c r="F563" s="144" t="str">
        <f t="shared" si="69"/>
        <v/>
      </c>
      <c r="G563" s="182"/>
      <c r="H563" s="182"/>
      <c r="I563" s="182"/>
      <c r="K563" s="139" t="str">
        <f t="shared" si="65"/>
        <v/>
      </c>
      <c r="L563" s="139" t="str">
        <f t="shared" si="66"/>
        <v/>
      </c>
      <c r="V563" s="139" t="s">
        <v>1728</v>
      </c>
      <c r="W563" s="139" t="s">
        <v>1729</v>
      </c>
    </row>
    <row r="564" spans="1:23">
      <c r="A564" s="149"/>
      <c r="B564" s="144" t="str">
        <f t="shared" si="67"/>
        <v/>
      </c>
      <c r="C564" s="149"/>
      <c r="D564" s="144" t="str">
        <f t="shared" si="68"/>
        <v/>
      </c>
      <c r="E564" s="183"/>
      <c r="F564" s="144" t="str">
        <f t="shared" si="69"/>
        <v/>
      </c>
      <c r="G564" s="182"/>
      <c r="H564" s="182"/>
      <c r="I564" s="182"/>
      <c r="K564" s="139" t="str">
        <f t="shared" si="65"/>
        <v/>
      </c>
      <c r="L564" s="139" t="str">
        <f t="shared" si="66"/>
        <v/>
      </c>
      <c r="V564" s="139" t="s">
        <v>1730</v>
      </c>
      <c r="W564" s="139" t="s">
        <v>1731</v>
      </c>
    </row>
    <row r="565" spans="1:23">
      <c r="A565" s="149"/>
      <c r="B565" s="144" t="str">
        <f t="shared" si="67"/>
        <v/>
      </c>
      <c r="C565" s="149"/>
      <c r="D565" s="144" t="str">
        <f t="shared" si="68"/>
        <v/>
      </c>
      <c r="E565" s="183"/>
      <c r="F565" s="144" t="str">
        <f t="shared" si="69"/>
        <v/>
      </c>
      <c r="G565" s="182"/>
      <c r="H565" s="182"/>
      <c r="I565" s="182"/>
      <c r="K565" s="139" t="str">
        <f t="shared" si="65"/>
        <v/>
      </c>
      <c r="L565" s="139" t="str">
        <f t="shared" si="66"/>
        <v/>
      </c>
      <c r="V565" s="139" t="s">
        <v>1732</v>
      </c>
      <c r="W565" s="139" t="s">
        <v>1733</v>
      </c>
    </row>
    <row r="566" spans="1:23">
      <c r="A566" s="149"/>
      <c r="B566" s="144" t="str">
        <f t="shared" si="67"/>
        <v/>
      </c>
      <c r="C566" s="149"/>
      <c r="D566" s="144" t="str">
        <f t="shared" si="68"/>
        <v/>
      </c>
      <c r="E566" s="183"/>
      <c r="F566" s="144" t="str">
        <f t="shared" si="69"/>
        <v/>
      </c>
      <c r="G566" s="182"/>
      <c r="H566" s="182"/>
      <c r="I566" s="182"/>
      <c r="K566" s="139" t="str">
        <f t="shared" si="65"/>
        <v/>
      </c>
      <c r="L566" s="139" t="str">
        <f t="shared" si="66"/>
        <v/>
      </c>
      <c r="V566" s="139" t="s">
        <v>1734</v>
      </c>
      <c r="W566" s="139" t="s">
        <v>1735</v>
      </c>
    </row>
    <row r="567" spans="1:23">
      <c r="A567" s="149"/>
      <c r="B567" s="144" t="str">
        <f t="shared" si="67"/>
        <v/>
      </c>
      <c r="C567" s="149"/>
      <c r="D567" s="144" t="str">
        <f t="shared" si="68"/>
        <v/>
      </c>
      <c r="E567" s="183"/>
      <c r="F567" s="144" t="str">
        <f t="shared" si="69"/>
        <v/>
      </c>
      <c r="G567" s="182"/>
      <c r="H567" s="182"/>
      <c r="I567" s="182"/>
      <c r="K567" s="139" t="str">
        <f t="shared" si="65"/>
        <v/>
      </c>
      <c r="L567" s="139" t="str">
        <f t="shared" si="66"/>
        <v/>
      </c>
      <c r="V567" s="139" t="s">
        <v>1736</v>
      </c>
      <c r="W567" s="139" t="s">
        <v>1737</v>
      </c>
    </row>
    <row r="568" spans="1:23">
      <c r="A568" s="149"/>
      <c r="B568" s="144" t="str">
        <f t="shared" si="67"/>
        <v/>
      </c>
      <c r="C568" s="149"/>
      <c r="D568" s="144" t="str">
        <f t="shared" si="68"/>
        <v/>
      </c>
      <c r="E568" s="183"/>
      <c r="F568" s="144" t="str">
        <f t="shared" si="69"/>
        <v/>
      </c>
      <c r="G568" s="182"/>
      <c r="H568" s="182"/>
      <c r="I568" s="182"/>
      <c r="K568" s="139" t="str">
        <f t="shared" si="65"/>
        <v/>
      </c>
      <c r="L568" s="139" t="str">
        <f t="shared" si="66"/>
        <v/>
      </c>
      <c r="V568" s="139" t="s">
        <v>1738</v>
      </c>
      <c r="W568" s="139" t="s">
        <v>1739</v>
      </c>
    </row>
    <row r="569" spans="1:23">
      <c r="A569" s="149"/>
      <c r="B569" s="144" t="str">
        <f t="shared" si="67"/>
        <v/>
      </c>
      <c r="C569" s="149"/>
      <c r="D569" s="144" t="str">
        <f t="shared" si="68"/>
        <v/>
      </c>
      <c r="E569" s="183"/>
      <c r="F569" s="144" t="str">
        <f t="shared" si="69"/>
        <v/>
      </c>
      <c r="G569" s="182"/>
      <c r="H569" s="182"/>
      <c r="I569" s="182"/>
      <c r="K569" s="139" t="str">
        <f t="shared" si="65"/>
        <v/>
      </c>
      <c r="L569" s="139" t="str">
        <f t="shared" si="66"/>
        <v/>
      </c>
      <c r="V569" s="139" t="s">
        <v>1740</v>
      </c>
      <c r="W569" s="139" t="s">
        <v>1741</v>
      </c>
    </row>
    <row r="570" spans="1:23">
      <c r="A570" s="149"/>
      <c r="B570" s="144" t="str">
        <f t="shared" si="67"/>
        <v/>
      </c>
      <c r="C570" s="149"/>
      <c r="D570" s="144" t="str">
        <f t="shared" si="68"/>
        <v/>
      </c>
      <c r="E570" s="183"/>
      <c r="F570" s="144" t="str">
        <f t="shared" si="69"/>
        <v/>
      </c>
      <c r="G570" s="182"/>
      <c r="H570" s="182"/>
      <c r="I570" s="182"/>
      <c r="K570" s="139" t="str">
        <f t="shared" si="65"/>
        <v/>
      </c>
      <c r="L570" s="139" t="str">
        <f t="shared" si="66"/>
        <v/>
      </c>
      <c r="V570" s="139" t="s">
        <v>1742</v>
      </c>
      <c r="W570" s="139" t="s">
        <v>1743</v>
      </c>
    </row>
    <row r="571" spans="1:23">
      <c r="A571" s="149"/>
      <c r="B571" s="144" t="str">
        <f t="shared" si="67"/>
        <v/>
      </c>
      <c r="C571" s="149"/>
      <c r="D571" s="144" t="str">
        <f t="shared" si="68"/>
        <v/>
      </c>
      <c r="E571" s="183"/>
      <c r="F571" s="144" t="str">
        <f t="shared" si="69"/>
        <v/>
      </c>
      <c r="G571" s="182"/>
      <c r="H571" s="182"/>
      <c r="I571" s="182"/>
      <c r="K571" s="139" t="str">
        <f t="shared" si="65"/>
        <v/>
      </c>
      <c r="L571" s="139" t="str">
        <f t="shared" si="66"/>
        <v/>
      </c>
      <c r="V571" s="139" t="s">
        <v>1744</v>
      </c>
      <c r="W571" s="139" t="s">
        <v>1745</v>
      </c>
    </row>
    <row r="572" spans="1:23">
      <c r="A572" s="149"/>
      <c r="B572" s="144" t="str">
        <f t="shared" si="67"/>
        <v/>
      </c>
      <c r="C572" s="149"/>
      <c r="D572" s="144" t="str">
        <f t="shared" si="68"/>
        <v/>
      </c>
      <c r="E572" s="183"/>
      <c r="F572" s="144" t="str">
        <f t="shared" si="69"/>
        <v/>
      </c>
      <c r="G572" s="182"/>
      <c r="H572" s="182"/>
      <c r="I572" s="182"/>
      <c r="K572" s="139" t="str">
        <f t="shared" si="65"/>
        <v/>
      </c>
      <c r="L572" s="139" t="str">
        <f t="shared" si="66"/>
        <v/>
      </c>
      <c r="V572" s="139" t="s">
        <v>1746</v>
      </c>
      <c r="W572" s="139" t="s">
        <v>1747</v>
      </c>
    </row>
    <row r="573" spans="1:23">
      <c r="A573" s="149"/>
      <c r="B573" s="144" t="str">
        <f t="shared" si="67"/>
        <v/>
      </c>
      <c r="C573" s="149"/>
      <c r="D573" s="144" t="str">
        <f t="shared" si="68"/>
        <v/>
      </c>
      <c r="E573" s="183"/>
      <c r="F573" s="144" t="str">
        <f t="shared" si="69"/>
        <v/>
      </c>
      <c r="G573" s="182"/>
      <c r="H573" s="182"/>
      <c r="I573" s="182"/>
      <c r="K573" s="139" t="str">
        <f t="shared" si="65"/>
        <v/>
      </c>
      <c r="L573" s="139" t="str">
        <f t="shared" si="66"/>
        <v/>
      </c>
      <c r="V573" s="139" t="s">
        <v>1748</v>
      </c>
      <c r="W573" s="139" t="s">
        <v>1749</v>
      </c>
    </row>
    <row r="574" spans="1:23">
      <c r="A574" s="149"/>
      <c r="B574" s="144" t="str">
        <f t="shared" si="67"/>
        <v/>
      </c>
      <c r="C574" s="149"/>
      <c r="D574" s="144" t="str">
        <f t="shared" si="68"/>
        <v/>
      </c>
      <c r="E574" s="183"/>
      <c r="F574" s="144" t="str">
        <f t="shared" si="69"/>
        <v/>
      </c>
      <c r="G574" s="182"/>
      <c r="H574" s="182"/>
      <c r="I574" s="182"/>
      <c r="K574" s="139" t="str">
        <f t="shared" si="65"/>
        <v/>
      </c>
      <c r="L574" s="139" t="str">
        <f t="shared" si="66"/>
        <v/>
      </c>
      <c r="V574" s="139" t="s">
        <v>1750</v>
      </c>
      <c r="W574" s="139" t="s">
        <v>1751</v>
      </c>
    </row>
    <row r="575" spans="1:23">
      <c r="A575" s="149"/>
      <c r="B575" s="144" t="str">
        <f t="shared" si="67"/>
        <v/>
      </c>
      <c r="C575" s="149"/>
      <c r="D575" s="144" t="str">
        <f t="shared" si="68"/>
        <v/>
      </c>
      <c r="E575" s="183"/>
      <c r="F575" s="144" t="str">
        <f t="shared" si="69"/>
        <v/>
      </c>
      <c r="G575" s="182"/>
      <c r="H575" s="182"/>
      <c r="I575" s="182"/>
      <c r="K575" s="139" t="str">
        <f t="shared" si="65"/>
        <v/>
      </c>
      <c r="L575" s="139" t="str">
        <f t="shared" si="66"/>
        <v/>
      </c>
      <c r="V575" s="139" t="s">
        <v>2593</v>
      </c>
      <c r="W575" s="139" t="s">
        <v>2594</v>
      </c>
    </row>
    <row r="576" spans="1:23">
      <c r="A576" s="149"/>
      <c r="B576" s="144" t="str">
        <f t="shared" si="67"/>
        <v/>
      </c>
      <c r="C576" s="149"/>
      <c r="D576" s="144" t="str">
        <f t="shared" si="68"/>
        <v/>
      </c>
      <c r="E576" s="183"/>
      <c r="F576" s="144" t="str">
        <f t="shared" si="69"/>
        <v/>
      </c>
      <c r="G576" s="182"/>
      <c r="H576" s="182"/>
      <c r="I576" s="182"/>
      <c r="K576" s="139" t="str">
        <f t="shared" si="65"/>
        <v/>
      </c>
      <c r="L576" s="139" t="str">
        <f t="shared" si="66"/>
        <v/>
      </c>
      <c r="V576" s="139" t="s">
        <v>2595</v>
      </c>
      <c r="W576" s="139" t="s">
        <v>2596</v>
      </c>
    </row>
    <row r="577" spans="1:23">
      <c r="A577" s="149"/>
      <c r="B577" s="144" t="str">
        <f t="shared" si="67"/>
        <v/>
      </c>
      <c r="C577" s="149"/>
      <c r="D577" s="144" t="str">
        <f t="shared" si="68"/>
        <v/>
      </c>
      <c r="E577" s="183"/>
      <c r="F577" s="144" t="str">
        <f t="shared" si="69"/>
        <v/>
      </c>
      <c r="G577" s="182"/>
      <c r="H577" s="182"/>
      <c r="I577" s="182"/>
      <c r="K577" s="139" t="str">
        <f t="shared" si="65"/>
        <v/>
      </c>
      <c r="L577" s="139" t="str">
        <f t="shared" si="66"/>
        <v/>
      </c>
      <c r="V577" s="139" t="s">
        <v>2597</v>
      </c>
      <c r="W577" s="139" t="s">
        <v>2598</v>
      </c>
    </row>
    <row r="578" spans="1:23">
      <c r="A578" s="149"/>
      <c r="B578" s="144" t="str">
        <f t="shared" si="67"/>
        <v/>
      </c>
      <c r="C578" s="149"/>
      <c r="D578" s="144" t="str">
        <f t="shared" si="68"/>
        <v/>
      </c>
      <c r="E578" s="183"/>
      <c r="F578" s="144" t="str">
        <f t="shared" si="69"/>
        <v/>
      </c>
      <c r="G578" s="182"/>
      <c r="H578" s="182"/>
      <c r="I578" s="182"/>
      <c r="K578" s="139" t="str">
        <f t="shared" si="65"/>
        <v/>
      </c>
      <c r="L578" s="139" t="str">
        <f t="shared" si="66"/>
        <v/>
      </c>
      <c r="V578" s="139" t="s">
        <v>2599</v>
      </c>
      <c r="W578" s="139" t="s">
        <v>2600</v>
      </c>
    </row>
    <row r="579" spans="1:23">
      <c r="A579" s="149"/>
      <c r="B579" s="144" t="str">
        <f t="shared" si="67"/>
        <v/>
      </c>
      <c r="C579" s="149"/>
      <c r="D579" s="144" t="str">
        <f t="shared" si="68"/>
        <v/>
      </c>
      <c r="E579" s="183"/>
      <c r="F579" s="144" t="str">
        <f t="shared" si="69"/>
        <v/>
      </c>
      <c r="G579" s="182"/>
      <c r="H579" s="182"/>
      <c r="I579" s="182"/>
      <c r="K579" s="139" t="str">
        <f t="shared" si="65"/>
        <v/>
      </c>
      <c r="L579" s="139" t="str">
        <f t="shared" si="66"/>
        <v/>
      </c>
      <c r="V579" s="139" t="s">
        <v>2601</v>
      </c>
      <c r="W579" s="139" t="s">
        <v>2602</v>
      </c>
    </row>
    <row r="580" spans="1:23">
      <c r="A580" s="149"/>
      <c r="B580" s="144" t="str">
        <f t="shared" si="67"/>
        <v/>
      </c>
      <c r="C580" s="149"/>
      <c r="D580" s="144" t="str">
        <f t="shared" si="68"/>
        <v/>
      </c>
      <c r="E580" s="183"/>
      <c r="F580" s="144" t="str">
        <f t="shared" si="69"/>
        <v/>
      </c>
      <c r="G580" s="182"/>
      <c r="H580" s="182"/>
      <c r="I580" s="182"/>
      <c r="K580" s="139" t="str">
        <f t="shared" si="65"/>
        <v/>
      </c>
      <c r="L580" s="139" t="str">
        <f t="shared" si="66"/>
        <v/>
      </c>
      <c r="V580" s="139" t="s">
        <v>2603</v>
      </c>
      <c r="W580" s="139" t="s">
        <v>2604</v>
      </c>
    </row>
    <row r="581" spans="1:23">
      <c r="A581" s="149"/>
      <c r="B581" s="144" t="str">
        <f t="shared" si="67"/>
        <v/>
      </c>
      <c r="C581" s="149"/>
      <c r="D581" s="144" t="str">
        <f t="shared" si="68"/>
        <v/>
      </c>
      <c r="E581" s="183"/>
      <c r="F581" s="144" t="str">
        <f t="shared" si="69"/>
        <v/>
      </c>
      <c r="G581" s="182"/>
      <c r="H581" s="182"/>
      <c r="I581" s="182"/>
      <c r="K581" s="139" t="str">
        <f t="shared" si="65"/>
        <v/>
      </c>
      <c r="L581" s="139" t="str">
        <f t="shared" si="66"/>
        <v/>
      </c>
      <c r="V581" s="139" t="s">
        <v>2605</v>
      </c>
      <c r="W581" s="139" t="s">
        <v>2606</v>
      </c>
    </row>
    <row r="582" spans="1:23">
      <c r="A582" s="149"/>
      <c r="B582" s="144" t="str">
        <f t="shared" si="67"/>
        <v/>
      </c>
      <c r="C582" s="149"/>
      <c r="D582" s="144" t="str">
        <f t="shared" si="68"/>
        <v/>
      </c>
      <c r="E582" s="183"/>
      <c r="F582" s="144" t="str">
        <f t="shared" si="69"/>
        <v/>
      </c>
      <c r="G582" s="182"/>
      <c r="H582" s="182"/>
      <c r="I582" s="182"/>
      <c r="K582" s="139" t="str">
        <f t="shared" si="65"/>
        <v/>
      </c>
      <c r="L582" s="139" t="str">
        <f t="shared" si="66"/>
        <v/>
      </c>
      <c r="V582" s="139" t="s">
        <v>2607</v>
      </c>
      <c r="W582" s="139" t="s">
        <v>2608</v>
      </c>
    </row>
    <row r="583" spans="1:23">
      <c r="A583" s="149"/>
      <c r="B583" s="144" t="str">
        <f t="shared" si="67"/>
        <v/>
      </c>
      <c r="C583" s="149"/>
      <c r="D583" s="144" t="str">
        <f t="shared" si="68"/>
        <v/>
      </c>
      <c r="E583" s="183"/>
      <c r="F583" s="144" t="str">
        <f t="shared" si="69"/>
        <v/>
      </c>
      <c r="G583" s="182"/>
      <c r="H583" s="182"/>
      <c r="I583" s="182"/>
      <c r="K583" s="139" t="str">
        <f t="shared" si="65"/>
        <v/>
      </c>
      <c r="L583" s="139" t="str">
        <f t="shared" si="66"/>
        <v/>
      </c>
      <c r="V583" s="139" t="s">
        <v>2609</v>
      </c>
      <c r="W583" s="139" t="s">
        <v>2610</v>
      </c>
    </row>
    <row r="584" spans="1:23">
      <c r="A584" s="149"/>
      <c r="B584" s="144" t="str">
        <f t="shared" si="67"/>
        <v/>
      </c>
      <c r="C584" s="149"/>
      <c r="D584" s="144" t="str">
        <f t="shared" si="68"/>
        <v/>
      </c>
      <c r="E584" s="183"/>
      <c r="F584" s="144" t="str">
        <f t="shared" si="69"/>
        <v/>
      </c>
      <c r="G584" s="182"/>
      <c r="H584" s="182"/>
      <c r="I584" s="182"/>
      <c r="K584" s="139" t="str">
        <f t="shared" si="65"/>
        <v/>
      </c>
      <c r="L584" s="139" t="str">
        <f t="shared" si="66"/>
        <v/>
      </c>
      <c r="V584" s="139" t="s">
        <v>2611</v>
      </c>
      <c r="W584" s="139" t="s">
        <v>2612</v>
      </c>
    </row>
    <row r="585" spans="1:23">
      <c r="A585" s="149"/>
      <c r="B585" s="144" t="str">
        <f t="shared" si="67"/>
        <v/>
      </c>
      <c r="C585" s="149"/>
      <c r="D585" s="144" t="str">
        <f t="shared" si="68"/>
        <v/>
      </c>
      <c r="E585" s="183"/>
      <c r="F585" s="144" t="str">
        <f t="shared" si="69"/>
        <v/>
      </c>
      <c r="G585" s="182"/>
      <c r="H585" s="182"/>
      <c r="I585" s="182"/>
      <c r="K585" s="139" t="str">
        <f t="shared" si="65"/>
        <v/>
      </c>
      <c r="L585" s="139" t="str">
        <f t="shared" si="66"/>
        <v/>
      </c>
      <c r="V585" s="139" t="s">
        <v>2613</v>
      </c>
      <c r="W585" s="139" t="s">
        <v>2614</v>
      </c>
    </row>
    <row r="586" spans="1:23">
      <c r="A586" s="149"/>
      <c r="B586" s="144" t="str">
        <f t="shared" si="67"/>
        <v/>
      </c>
      <c r="C586" s="149"/>
      <c r="D586" s="144" t="str">
        <f t="shared" si="68"/>
        <v/>
      </c>
      <c r="E586" s="183"/>
      <c r="F586" s="144" t="str">
        <f t="shared" si="69"/>
        <v/>
      </c>
      <c r="G586" s="182"/>
      <c r="H586" s="182"/>
      <c r="I586" s="182"/>
      <c r="K586" s="139" t="str">
        <f t="shared" si="65"/>
        <v/>
      </c>
      <c r="L586" s="139" t="str">
        <f t="shared" si="66"/>
        <v/>
      </c>
      <c r="V586" s="139" t="s">
        <v>2615</v>
      </c>
      <c r="W586" s="139" t="s">
        <v>2616</v>
      </c>
    </row>
    <row r="587" spans="1:23" ht="15.75" customHeight="1">
      <c r="V587" s="139" t="s">
        <v>2617</v>
      </c>
      <c r="W587" s="139" t="s">
        <v>2618</v>
      </c>
    </row>
    <row r="588" spans="1:23" hidden="1">
      <c r="V588" s="139" t="s">
        <v>2619</v>
      </c>
      <c r="W588" s="139" t="s">
        <v>2620</v>
      </c>
    </row>
    <row r="589" spans="1:23" hidden="1">
      <c r="V589" s="139" t="s">
        <v>2621</v>
      </c>
      <c r="W589" s="139" t="s">
        <v>2622</v>
      </c>
    </row>
    <row r="590" spans="1:23" hidden="1">
      <c r="V590" s="139" t="s">
        <v>2623</v>
      </c>
      <c r="W590" s="139" t="s">
        <v>2624</v>
      </c>
    </row>
    <row r="591" spans="1:23" hidden="1">
      <c r="V591" s="139" t="s">
        <v>2625</v>
      </c>
      <c r="W591" s="139" t="s">
        <v>2626</v>
      </c>
    </row>
    <row r="592" spans="1:23" hidden="1">
      <c r="V592" s="139" t="s">
        <v>2627</v>
      </c>
      <c r="W592" s="139" t="s">
        <v>2628</v>
      </c>
    </row>
    <row r="593" spans="22:23" hidden="1">
      <c r="V593" s="139" t="s">
        <v>2629</v>
      </c>
      <c r="W593" s="139" t="s">
        <v>2630</v>
      </c>
    </row>
    <row r="594" spans="22:23" hidden="1">
      <c r="V594" s="139" t="s">
        <v>2631</v>
      </c>
      <c r="W594" s="139" t="s">
        <v>2632</v>
      </c>
    </row>
    <row r="595" spans="22:23" hidden="1">
      <c r="V595" s="139" t="s">
        <v>2633</v>
      </c>
      <c r="W595" s="139" t="s">
        <v>2634</v>
      </c>
    </row>
    <row r="596" spans="22:23" hidden="1">
      <c r="V596" s="139" t="s">
        <v>2635</v>
      </c>
      <c r="W596" s="139" t="s">
        <v>2636</v>
      </c>
    </row>
    <row r="597" spans="22:23" hidden="1">
      <c r="V597" s="139" t="s">
        <v>2637</v>
      </c>
      <c r="W597" s="139" t="s">
        <v>2638</v>
      </c>
    </row>
    <row r="598" spans="22:23" hidden="1">
      <c r="V598" s="139" t="s">
        <v>2639</v>
      </c>
      <c r="W598" s="139" t="s">
        <v>2640</v>
      </c>
    </row>
    <row r="599" spans="22:23" hidden="1">
      <c r="V599" s="139" t="s">
        <v>2641</v>
      </c>
      <c r="W599" s="139" t="s">
        <v>2642</v>
      </c>
    </row>
    <row r="600" spans="22:23" hidden="1">
      <c r="V600" s="139" t="s">
        <v>2643</v>
      </c>
      <c r="W600" s="139" t="s">
        <v>2644</v>
      </c>
    </row>
    <row r="601" spans="22:23" hidden="1">
      <c r="V601" s="139" t="s">
        <v>2645</v>
      </c>
      <c r="W601" s="139" t="s">
        <v>2646</v>
      </c>
    </row>
    <row r="602" spans="22:23" hidden="1">
      <c r="V602" s="139" t="s">
        <v>2647</v>
      </c>
      <c r="W602" s="139" t="s">
        <v>2648</v>
      </c>
    </row>
    <row r="603" spans="22:23" hidden="1">
      <c r="V603" s="139" t="s">
        <v>2649</v>
      </c>
      <c r="W603" s="139" t="s">
        <v>2650</v>
      </c>
    </row>
    <row r="604" spans="22:23" hidden="1">
      <c r="V604" s="139" t="s">
        <v>2651</v>
      </c>
      <c r="W604" s="139" t="s">
        <v>2652</v>
      </c>
    </row>
    <row r="605" spans="22:23" hidden="1">
      <c r="V605" s="139" t="s">
        <v>2653</v>
      </c>
      <c r="W605" s="139" t="s">
        <v>2654</v>
      </c>
    </row>
    <row r="606" spans="22:23" hidden="1">
      <c r="V606" s="139" t="s">
        <v>2655</v>
      </c>
      <c r="W606" s="139" t="s">
        <v>2656</v>
      </c>
    </row>
    <row r="607" spans="22:23" hidden="1">
      <c r="V607" s="139" t="s">
        <v>2657</v>
      </c>
      <c r="W607" s="139" t="s">
        <v>2658</v>
      </c>
    </row>
    <row r="608" spans="22:23" hidden="1">
      <c r="V608" s="139" t="s">
        <v>2659</v>
      </c>
      <c r="W608" s="139" t="s">
        <v>2660</v>
      </c>
    </row>
    <row r="609" spans="22:23" hidden="1">
      <c r="V609" s="139" t="s">
        <v>2661</v>
      </c>
      <c r="W609" s="139" t="s">
        <v>2662</v>
      </c>
    </row>
    <row r="610" spans="22:23" hidden="1">
      <c r="V610" s="139" t="s">
        <v>2663</v>
      </c>
      <c r="W610" s="139" t="s">
        <v>2664</v>
      </c>
    </row>
    <row r="611" spans="22:23" hidden="1">
      <c r="V611" s="139" t="s">
        <v>2665</v>
      </c>
      <c r="W611" s="139" t="s">
        <v>2666</v>
      </c>
    </row>
    <row r="612" spans="22:23" hidden="1">
      <c r="V612" s="139" t="s">
        <v>2667</v>
      </c>
      <c r="W612" s="139" t="s">
        <v>2668</v>
      </c>
    </row>
    <row r="613" spans="22:23" hidden="1">
      <c r="V613" s="139" t="s">
        <v>2669</v>
      </c>
      <c r="W613" s="139" t="s">
        <v>2670</v>
      </c>
    </row>
    <row r="614" spans="22:23" hidden="1">
      <c r="V614" s="139" t="s">
        <v>2671</v>
      </c>
      <c r="W614" s="139" t="s">
        <v>1577</v>
      </c>
    </row>
    <row r="615" spans="22:23" hidden="1">
      <c r="V615" s="139" t="s">
        <v>2672</v>
      </c>
      <c r="W615" s="139" t="s">
        <v>2673</v>
      </c>
    </row>
    <row r="616" spans="22:23" hidden="1">
      <c r="V616" s="139" t="s">
        <v>2674</v>
      </c>
      <c r="W616" s="139" t="s">
        <v>2675</v>
      </c>
    </row>
    <row r="617" spans="22:23" hidden="1">
      <c r="V617" s="139" t="s">
        <v>2676</v>
      </c>
      <c r="W617" s="139" t="s">
        <v>2677</v>
      </c>
    </row>
    <row r="618" spans="22:23" hidden="1">
      <c r="V618" s="139" t="s">
        <v>2678</v>
      </c>
      <c r="W618" s="139" t="s">
        <v>2679</v>
      </c>
    </row>
    <row r="619" spans="22:23" hidden="1">
      <c r="V619" s="139" t="s">
        <v>2680</v>
      </c>
      <c r="W619" s="139" t="s">
        <v>2681</v>
      </c>
    </row>
    <row r="620" spans="22:23" hidden="1">
      <c r="V620" s="139" t="s">
        <v>2682</v>
      </c>
      <c r="W620" s="139" t="s">
        <v>2683</v>
      </c>
    </row>
    <row r="621" spans="22:23" hidden="1">
      <c r="V621" s="139" t="s">
        <v>2684</v>
      </c>
      <c r="W621" s="139" t="s">
        <v>2685</v>
      </c>
    </row>
    <row r="622" spans="22:23" hidden="1">
      <c r="V622" s="139" t="s">
        <v>2686</v>
      </c>
      <c r="W622" s="139" t="s">
        <v>2687</v>
      </c>
    </row>
    <row r="623" spans="22:23" hidden="1">
      <c r="V623" s="139" t="s">
        <v>2688</v>
      </c>
      <c r="W623" s="139" t="s">
        <v>2689</v>
      </c>
    </row>
    <row r="624" spans="22:23" hidden="1">
      <c r="V624" s="139" t="s">
        <v>2690</v>
      </c>
      <c r="W624" s="139" t="s">
        <v>2691</v>
      </c>
    </row>
    <row r="625" spans="22:23" hidden="1">
      <c r="V625" s="139" t="s">
        <v>2692</v>
      </c>
      <c r="W625" s="139" t="s">
        <v>2693</v>
      </c>
    </row>
    <row r="626" spans="22:23" hidden="1">
      <c r="V626" s="139" t="s">
        <v>2694</v>
      </c>
      <c r="W626" s="139" t="s">
        <v>2695</v>
      </c>
    </row>
    <row r="627" spans="22:23" hidden="1">
      <c r="V627" s="139" t="s">
        <v>2696</v>
      </c>
      <c r="W627" s="139" t="s">
        <v>2697</v>
      </c>
    </row>
    <row r="628" spans="22:23" hidden="1">
      <c r="V628" s="139" t="s">
        <v>2698</v>
      </c>
      <c r="W628" s="139" t="s">
        <v>2699</v>
      </c>
    </row>
    <row r="629" spans="22:23" hidden="1">
      <c r="V629" s="139" t="s">
        <v>2700</v>
      </c>
      <c r="W629" s="139" t="s">
        <v>2701</v>
      </c>
    </row>
    <row r="630" spans="22:23" hidden="1">
      <c r="V630" s="139" t="s">
        <v>2702</v>
      </c>
      <c r="W630" s="139" t="s">
        <v>2703</v>
      </c>
    </row>
    <row r="631" spans="22:23" hidden="1">
      <c r="V631" s="139" t="s">
        <v>2704</v>
      </c>
      <c r="W631" s="139" t="s">
        <v>2705</v>
      </c>
    </row>
    <row r="632" spans="22:23" hidden="1">
      <c r="V632" s="139" t="s">
        <v>2706</v>
      </c>
      <c r="W632" s="139" t="s">
        <v>2707</v>
      </c>
    </row>
    <row r="633" spans="22:23" hidden="1">
      <c r="V633" s="139" t="s">
        <v>2708</v>
      </c>
      <c r="W633" s="139" t="s">
        <v>2709</v>
      </c>
    </row>
    <row r="634" spans="22:23" hidden="1">
      <c r="V634" s="139" t="s">
        <v>2710</v>
      </c>
      <c r="W634" s="139" t="s">
        <v>2711</v>
      </c>
    </row>
    <row r="635" spans="22:23" hidden="1">
      <c r="V635" s="139" t="s">
        <v>2712</v>
      </c>
      <c r="W635" s="139" t="s">
        <v>2713</v>
      </c>
    </row>
    <row r="636" spans="22:23" hidden="1">
      <c r="V636" s="139" t="s">
        <v>2714</v>
      </c>
      <c r="W636" s="139" t="s">
        <v>2715</v>
      </c>
    </row>
    <row r="637" spans="22:23" hidden="1">
      <c r="V637" s="139" t="s">
        <v>2716</v>
      </c>
      <c r="W637" s="139" t="s">
        <v>2717</v>
      </c>
    </row>
    <row r="638" spans="22:23" hidden="1">
      <c r="V638" s="139" t="s">
        <v>2718</v>
      </c>
      <c r="W638" s="139" t="s">
        <v>2719</v>
      </c>
    </row>
    <row r="639" spans="22:23" hidden="1">
      <c r="V639" s="139" t="s">
        <v>2720</v>
      </c>
      <c r="W639" s="139" t="s">
        <v>2721</v>
      </c>
    </row>
    <row r="640" spans="22:23" hidden="1">
      <c r="V640" s="139" t="s">
        <v>2722</v>
      </c>
      <c r="W640" s="139" t="s">
        <v>2723</v>
      </c>
    </row>
    <row r="641" spans="22:23" hidden="1">
      <c r="V641" s="139" t="s">
        <v>2724</v>
      </c>
      <c r="W641" s="139" t="s">
        <v>2725</v>
      </c>
    </row>
    <row r="642" spans="22:23" hidden="1">
      <c r="V642" s="139" t="s">
        <v>2726</v>
      </c>
      <c r="W642" s="139" t="s">
        <v>2727</v>
      </c>
    </row>
    <row r="643" spans="22:23" hidden="1">
      <c r="V643" s="139" t="s">
        <v>2728</v>
      </c>
      <c r="W643" s="139" t="s">
        <v>2729</v>
      </c>
    </row>
    <row r="644" spans="22:23" hidden="1">
      <c r="V644" s="139" t="s">
        <v>2730</v>
      </c>
      <c r="W644" s="139" t="s">
        <v>2731</v>
      </c>
    </row>
    <row r="645" spans="22:23" hidden="1">
      <c r="V645" s="139" t="s">
        <v>2732</v>
      </c>
      <c r="W645" s="139" t="s">
        <v>2733</v>
      </c>
    </row>
    <row r="646" spans="22:23" hidden="1">
      <c r="V646" s="139" t="s">
        <v>2734</v>
      </c>
      <c r="W646" s="139" t="s">
        <v>2735</v>
      </c>
    </row>
    <row r="647" spans="22:23" hidden="1">
      <c r="V647" s="139" t="s">
        <v>2736</v>
      </c>
      <c r="W647" s="139" t="s">
        <v>2737</v>
      </c>
    </row>
    <row r="648" spans="22:23" hidden="1">
      <c r="V648" s="139" t="s">
        <v>2738</v>
      </c>
      <c r="W648" s="139" t="s">
        <v>1743</v>
      </c>
    </row>
    <row r="649" spans="22:23" hidden="1">
      <c r="V649" s="139" t="s">
        <v>2739</v>
      </c>
      <c r="W649" s="139" t="s">
        <v>2740</v>
      </c>
    </row>
    <row r="650" spans="22:23" hidden="1">
      <c r="V650" s="139" t="s">
        <v>2741</v>
      </c>
      <c r="W650" s="139" t="s">
        <v>2742</v>
      </c>
    </row>
    <row r="651" spans="22:23" hidden="1">
      <c r="V651" s="139" t="s">
        <v>2743</v>
      </c>
      <c r="W651" s="139" t="s">
        <v>2744</v>
      </c>
    </row>
    <row r="652" spans="22:23" hidden="1">
      <c r="V652" s="139" t="s">
        <v>2745</v>
      </c>
      <c r="W652" s="139" t="s">
        <v>2746</v>
      </c>
    </row>
    <row r="653" spans="22:23" hidden="1">
      <c r="V653" s="139" t="s">
        <v>2747</v>
      </c>
      <c r="W653" s="139" t="s">
        <v>2748</v>
      </c>
    </row>
    <row r="654" spans="22:23" hidden="1">
      <c r="V654" s="139" t="s">
        <v>2749</v>
      </c>
      <c r="W654" s="139" t="s">
        <v>2750</v>
      </c>
    </row>
    <row r="655" spans="22:23" hidden="1">
      <c r="V655" s="139" t="s">
        <v>2751</v>
      </c>
      <c r="W655" s="139" t="s">
        <v>2752</v>
      </c>
    </row>
    <row r="656" spans="22:23" hidden="1">
      <c r="V656" s="139" t="s">
        <v>2753</v>
      </c>
      <c r="W656" s="139" t="s">
        <v>2754</v>
      </c>
    </row>
    <row r="657" spans="22:23" hidden="1">
      <c r="V657" s="139" t="s">
        <v>2755</v>
      </c>
      <c r="W657" s="139" t="s">
        <v>2756</v>
      </c>
    </row>
    <row r="658" spans="22:23" hidden="1">
      <c r="V658" s="139" t="s">
        <v>2757</v>
      </c>
      <c r="W658" s="139" t="s">
        <v>2758</v>
      </c>
    </row>
    <row r="659" spans="22:23" hidden="1">
      <c r="V659" s="139" t="s">
        <v>2759</v>
      </c>
      <c r="W659" s="139" t="s">
        <v>2760</v>
      </c>
    </row>
    <row r="660" spans="22:23" hidden="1">
      <c r="V660" s="139" t="s">
        <v>2761</v>
      </c>
      <c r="W660" s="139" t="s">
        <v>2762</v>
      </c>
    </row>
    <row r="661" spans="22:23" hidden="1">
      <c r="V661" s="139" t="s">
        <v>2763</v>
      </c>
      <c r="W661" s="139" t="s">
        <v>2764</v>
      </c>
    </row>
    <row r="662" spans="22:23" hidden="1">
      <c r="V662" s="139" t="s">
        <v>2765</v>
      </c>
      <c r="W662" s="139" t="s">
        <v>2766</v>
      </c>
    </row>
    <row r="663" spans="22:23" hidden="1">
      <c r="V663" s="139" t="s">
        <v>2767</v>
      </c>
      <c r="W663" s="139" t="s">
        <v>2768</v>
      </c>
    </row>
    <row r="664" spans="22:23" hidden="1">
      <c r="V664" s="139" t="s">
        <v>2769</v>
      </c>
      <c r="W664" s="139" t="s">
        <v>2770</v>
      </c>
    </row>
    <row r="665" spans="22:23" hidden="1">
      <c r="V665" s="139" t="s">
        <v>2771</v>
      </c>
      <c r="W665" s="139" t="s">
        <v>2772</v>
      </c>
    </row>
    <row r="666" spans="22:23" hidden="1">
      <c r="V666" s="139" t="s">
        <v>2773</v>
      </c>
      <c r="W666" s="139" t="s">
        <v>2774</v>
      </c>
    </row>
    <row r="667" spans="22:23" hidden="1">
      <c r="V667" s="139" t="s">
        <v>2775</v>
      </c>
      <c r="W667" s="139" t="s">
        <v>2776</v>
      </c>
    </row>
    <row r="668" spans="22:23" hidden="1">
      <c r="V668" s="139" t="s">
        <v>2777</v>
      </c>
      <c r="W668" s="139" t="s">
        <v>2778</v>
      </c>
    </row>
    <row r="669" spans="22:23" hidden="1">
      <c r="V669" s="139" t="s">
        <v>2779</v>
      </c>
      <c r="W669" s="139" t="s">
        <v>2780</v>
      </c>
    </row>
    <row r="670" spans="22:23" hidden="1">
      <c r="V670" s="139" t="s">
        <v>2781</v>
      </c>
      <c r="W670" s="139" t="s">
        <v>2782</v>
      </c>
    </row>
    <row r="671" spans="22:23" hidden="1">
      <c r="V671" s="139" t="s">
        <v>2783</v>
      </c>
      <c r="W671" s="139" t="s">
        <v>2784</v>
      </c>
    </row>
    <row r="672" spans="22:23" hidden="1">
      <c r="V672" s="139" t="s">
        <v>2785</v>
      </c>
      <c r="W672" s="139" t="s">
        <v>2786</v>
      </c>
    </row>
    <row r="673" spans="22:23" hidden="1">
      <c r="V673" s="139" t="s">
        <v>2787</v>
      </c>
      <c r="W673" s="139" t="s">
        <v>2788</v>
      </c>
    </row>
    <row r="674" spans="22:23" hidden="1">
      <c r="V674" s="139" t="s">
        <v>2789</v>
      </c>
      <c r="W674" s="139" t="s">
        <v>2790</v>
      </c>
    </row>
    <row r="675" spans="22:23" hidden="1">
      <c r="V675" s="139" t="s">
        <v>2791</v>
      </c>
      <c r="W675" s="139" t="s">
        <v>2792</v>
      </c>
    </row>
    <row r="676" spans="22:23" hidden="1">
      <c r="V676" s="139" t="s">
        <v>2793</v>
      </c>
      <c r="W676" s="139" t="s">
        <v>2794</v>
      </c>
    </row>
    <row r="677" spans="22:23" hidden="1">
      <c r="V677" s="139" t="s">
        <v>2795</v>
      </c>
      <c r="W677" s="139" t="s">
        <v>2796</v>
      </c>
    </row>
    <row r="678" spans="22:23" hidden="1">
      <c r="V678" s="139" t="s">
        <v>2797</v>
      </c>
      <c r="W678" s="139" t="s">
        <v>2798</v>
      </c>
    </row>
    <row r="679" spans="22:23" hidden="1">
      <c r="V679" s="139" t="s">
        <v>2799</v>
      </c>
      <c r="W679" s="139" t="s">
        <v>2800</v>
      </c>
    </row>
    <row r="680" spans="22:23" hidden="1">
      <c r="V680" s="139" t="s">
        <v>2801</v>
      </c>
      <c r="W680" s="139" t="s">
        <v>2802</v>
      </c>
    </row>
    <row r="681" spans="22:23" hidden="1">
      <c r="V681" s="139" t="s">
        <v>2803</v>
      </c>
      <c r="W681" s="139" t="s">
        <v>2804</v>
      </c>
    </row>
    <row r="682" spans="22:23" hidden="1">
      <c r="V682" s="139" t="s">
        <v>2805</v>
      </c>
      <c r="W682" s="139" t="s">
        <v>2806</v>
      </c>
    </row>
    <row r="683" spans="22:23" hidden="1">
      <c r="V683" s="139" t="s">
        <v>2807</v>
      </c>
      <c r="W683" s="139" t="s">
        <v>2808</v>
      </c>
    </row>
    <row r="684" spans="22:23" hidden="1">
      <c r="V684" s="139" t="s">
        <v>2809</v>
      </c>
      <c r="W684" s="139" t="s">
        <v>2810</v>
      </c>
    </row>
    <row r="685" spans="22:23" hidden="1">
      <c r="V685" s="139" t="s">
        <v>2811</v>
      </c>
      <c r="W685" s="139" t="s">
        <v>2812</v>
      </c>
    </row>
    <row r="686" spans="22:23" hidden="1">
      <c r="V686" s="139" t="s">
        <v>2813</v>
      </c>
      <c r="W686" s="139" t="s">
        <v>2814</v>
      </c>
    </row>
    <row r="687" spans="22:23" hidden="1">
      <c r="V687" s="139" t="s">
        <v>2815</v>
      </c>
      <c r="W687" s="139" t="s">
        <v>2816</v>
      </c>
    </row>
    <row r="688" spans="22:23" hidden="1">
      <c r="V688" s="139" t="s">
        <v>2817</v>
      </c>
      <c r="W688" s="139" t="s">
        <v>2818</v>
      </c>
    </row>
    <row r="689" spans="22:23" hidden="1">
      <c r="V689" s="139" t="s">
        <v>2819</v>
      </c>
      <c r="W689" s="139" t="s">
        <v>2820</v>
      </c>
    </row>
    <row r="690" spans="22:23" hidden="1">
      <c r="V690" s="139" t="s">
        <v>2821</v>
      </c>
      <c r="W690" s="139" t="s">
        <v>2822</v>
      </c>
    </row>
    <row r="691" spans="22:23" hidden="1">
      <c r="V691" s="139" t="s">
        <v>2823</v>
      </c>
      <c r="W691" s="139" t="s">
        <v>2824</v>
      </c>
    </row>
    <row r="692" spans="22:23" hidden="1">
      <c r="V692" s="139" t="s">
        <v>2825</v>
      </c>
      <c r="W692" s="139" t="s">
        <v>2826</v>
      </c>
    </row>
    <row r="693" spans="22:23" hidden="1">
      <c r="V693" s="139" t="s">
        <v>2827</v>
      </c>
      <c r="W693" s="139" t="s">
        <v>2828</v>
      </c>
    </row>
    <row r="694" spans="22:23" hidden="1">
      <c r="V694" s="139" t="s">
        <v>2829</v>
      </c>
      <c r="W694" s="139" t="s">
        <v>2830</v>
      </c>
    </row>
    <row r="695" spans="22:23" hidden="1">
      <c r="V695" s="139" t="s">
        <v>2831</v>
      </c>
      <c r="W695" s="139" t="s">
        <v>2832</v>
      </c>
    </row>
    <row r="696" spans="22:23" hidden="1">
      <c r="V696" s="139" t="s">
        <v>2833</v>
      </c>
      <c r="W696" s="139" t="s">
        <v>2834</v>
      </c>
    </row>
    <row r="697" spans="22:23" hidden="1">
      <c r="V697" s="139" t="s">
        <v>2835</v>
      </c>
      <c r="W697" s="139" t="s">
        <v>2836</v>
      </c>
    </row>
    <row r="698" spans="22:23" hidden="1">
      <c r="V698" s="139" t="s">
        <v>2837</v>
      </c>
      <c r="W698" s="139" t="s">
        <v>2838</v>
      </c>
    </row>
    <row r="699" spans="22:23" hidden="1">
      <c r="V699" s="139" t="s">
        <v>2839</v>
      </c>
      <c r="W699" s="139" t="s">
        <v>2840</v>
      </c>
    </row>
    <row r="700" spans="22:23" hidden="1">
      <c r="V700" s="139" t="s">
        <v>2841</v>
      </c>
      <c r="W700" s="139" t="s">
        <v>2842</v>
      </c>
    </row>
    <row r="701" spans="22:23" hidden="1">
      <c r="V701" s="139" t="s">
        <v>2843</v>
      </c>
      <c r="W701" s="139" t="s">
        <v>2844</v>
      </c>
    </row>
    <row r="702" spans="22:23" hidden="1">
      <c r="V702" s="139" t="s">
        <v>2845</v>
      </c>
      <c r="W702" s="139" t="s">
        <v>2846</v>
      </c>
    </row>
    <row r="703" spans="22:23" hidden="1">
      <c r="V703" s="139" t="s">
        <v>2847</v>
      </c>
      <c r="W703" s="139" t="s">
        <v>2848</v>
      </c>
    </row>
    <row r="704" spans="22:23" hidden="1">
      <c r="V704" s="139" t="s">
        <v>2849</v>
      </c>
      <c r="W704" s="139" t="s">
        <v>2850</v>
      </c>
    </row>
    <row r="705" spans="22:23" hidden="1">
      <c r="V705" s="139" t="s">
        <v>2851</v>
      </c>
      <c r="W705" s="139" t="s">
        <v>2852</v>
      </c>
    </row>
    <row r="706" spans="22:23" hidden="1">
      <c r="V706" s="139" t="s">
        <v>2853</v>
      </c>
      <c r="W706" s="139" t="s">
        <v>2854</v>
      </c>
    </row>
    <row r="707" spans="22:23" hidden="1">
      <c r="V707" s="139" t="s">
        <v>2855</v>
      </c>
      <c r="W707" s="139" t="s">
        <v>2856</v>
      </c>
    </row>
    <row r="708" spans="22:23" hidden="1">
      <c r="V708" s="139" t="s">
        <v>2857</v>
      </c>
      <c r="W708" s="139" t="s">
        <v>2858</v>
      </c>
    </row>
    <row r="709" spans="22:23" hidden="1">
      <c r="V709" s="139" t="s">
        <v>2859</v>
      </c>
      <c r="W709" s="139" t="s">
        <v>2860</v>
      </c>
    </row>
    <row r="710" spans="22:23" hidden="1">
      <c r="V710" s="139" t="s">
        <v>2861</v>
      </c>
      <c r="W710" s="139" t="s">
        <v>2862</v>
      </c>
    </row>
    <row r="711" spans="22:23" hidden="1">
      <c r="V711" s="139" t="s">
        <v>2863</v>
      </c>
      <c r="W711" s="139" t="s">
        <v>2864</v>
      </c>
    </row>
    <row r="712" spans="22:23" hidden="1">
      <c r="V712" s="139" t="s">
        <v>2865</v>
      </c>
      <c r="W712" s="139" t="s">
        <v>2866</v>
      </c>
    </row>
    <row r="713" spans="22:23" hidden="1">
      <c r="V713" s="139" t="s">
        <v>2867</v>
      </c>
      <c r="W713" s="139" t="s">
        <v>2868</v>
      </c>
    </row>
    <row r="714" spans="22:23" hidden="1">
      <c r="V714" s="139" t="s">
        <v>2869</v>
      </c>
      <c r="W714" s="139" t="s">
        <v>2870</v>
      </c>
    </row>
    <row r="715" spans="22:23" hidden="1">
      <c r="V715" s="139" t="s">
        <v>2871</v>
      </c>
      <c r="W715" s="139" t="s">
        <v>2872</v>
      </c>
    </row>
    <row r="716" spans="22:23" hidden="1">
      <c r="V716" s="139" t="s">
        <v>2873</v>
      </c>
      <c r="W716" s="139" t="s">
        <v>2874</v>
      </c>
    </row>
    <row r="717" spans="22:23" hidden="1">
      <c r="V717" s="139" t="s">
        <v>2875</v>
      </c>
      <c r="W717" s="139" t="s">
        <v>2876</v>
      </c>
    </row>
    <row r="718" spans="22:23" hidden="1">
      <c r="V718" s="139" t="s">
        <v>2877</v>
      </c>
      <c r="W718" s="139" t="s">
        <v>2878</v>
      </c>
    </row>
    <row r="719" spans="22:23" hidden="1">
      <c r="V719" s="139" t="s">
        <v>2879</v>
      </c>
      <c r="W719" s="139" t="s">
        <v>2880</v>
      </c>
    </row>
    <row r="720" spans="22:23" hidden="1">
      <c r="V720" s="139" t="s">
        <v>2881</v>
      </c>
      <c r="W720" s="139" t="s">
        <v>2882</v>
      </c>
    </row>
    <row r="721" spans="22:23" hidden="1">
      <c r="V721" s="139" t="s">
        <v>2883</v>
      </c>
      <c r="W721" s="139" t="s">
        <v>2884</v>
      </c>
    </row>
    <row r="722" spans="22:23" hidden="1">
      <c r="V722" s="139" t="s">
        <v>2885</v>
      </c>
      <c r="W722" s="139" t="s">
        <v>2886</v>
      </c>
    </row>
    <row r="723" spans="22:23" hidden="1">
      <c r="V723" s="139" t="s">
        <v>2887</v>
      </c>
      <c r="W723" s="139" t="s">
        <v>2888</v>
      </c>
    </row>
    <row r="724" spans="22:23" hidden="1">
      <c r="V724" s="139" t="s">
        <v>2889</v>
      </c>
      <c r="W724" s="139" t="s">
        <v>2890</v>
      </c>
    </row>
    <row r="725" spans="22:23" hidden="1">
      <c r="V725" s="139" t="s">
        <v>2891</v>
      </c>
      <c r="W725" s="139" t="s">
        <v>2892</v>
      </c>
    </row>
    <row r="726" spans="22:23" hidden="1">
      <c r="V726" s="139" t="s">
        <v>2893</v>
      </c>
      <c r="W726" s="139" t="s">
        <v>2894</v>
      </c>
    </row>
    <row r="727" spans="22:23" hidden="1">
      <c r="V727" s="139" t="s">
        <v>2895</v>
      </c>
      <c r="W727" s="139" t="s">
        <v>2896</v>
      </c>
    </row>
    <row r="728" spans="22:23" hidden="1">
      <c r="V728" s="139" t="s">
        <v>2897</v>
      </c>
      <c r="W728" s="139" t="s">
        <v>2898</v>
      </c>
    </row>
    <row r="729" spans="22:23" hidden="1">
      <c r="V729" s="139" t="s">
        <v>2899</v>
      </c>
      <c r="W729" s="139" t="s">
        <v>2900</v>
      </c>
    </row>
    <row r="730" spans="22:23" hidden="1">
      <c r="V730" s="139" t="s">
        <v>2901</v>
      </c>
      <c r="W730" s="139" t="s">
        <v>2902</v>
      </c>
    </row>
    <row r="731" spans="22:23" hidden="1">
      <c r="V731" s="139" t="s">
        <v>2903</v>
      </c>
      <c r="W731" s="139" t="s">
        <v>2904</v>
      </c>
    </row>
    <row r="732" spans="22:23" hidden="1">
      <c r="V732" s="139" t="s">
        <v>2905</v>
      </c>
      <c r="W732" s="139" t="s">
        <v>2906</v>
      </c>
    </row>
    <row r="733" spans="22:23" hidden="1">
      <c r="V733" s="139" t="s">
        <v>2907</v>
      </c>
      <c r="W733" s="139" t="s">
        <v>2908</v>
      </c>
    </row>
    <row r="734" spans="22:23" hidden="1">
      <c r="V734" s="139" t="s">
        <v>2909</v>
      </c>
      <c r="W734" s="139" t="s">
        <v>2910</v>
      </c>
    </row>
    <row r="735" spans="22:23" hidden="1">
      <c r="V735" s="139" t="s">
        <v>2911</v>
      </c>
      <c r="W735" s="139" t="s">
        <v>2912</v>
      </c>
    </row>
    <row r="736" spans="22:23" hidden="1">
      <c r="V736" s="139" t="s">
        <v>2913</v>
      </c>
      <c r="W736" s="139" t="s">
        <v>2914</v>
      </c>
    </row>
    <row r="737" spans="22:23" hidden="1">
      <c r="V737" s="139" t="s">
        <v>2915</v>
      </c>
      <c r="W737" s="139" t="s">
        <v>2916</v>
      </c>
    </row>
    <row r="738" spans="22:23" hidden="1">
      <c r="V738" s="139" t="s">
        <v>2917</v>
      </c>
      <c r="W738" s="139" t="s">
        <v>2918</v>
      </c>
    </row>
    <row r="739" spans="22:23" hidden="1">
      <c r="V739" s="139" t="s">
        <v>2919</v>
      </c>
      <c r="W739" s="139" t="s">
        <v>2920</v>
      </c>
    </row>
    <row r="740" spans="22:23" hidden="1">
      <c r="V740" s="139" t="s">
        <v>2921</v>
      </c>
      <c r="W740" s="139" t="s">
        <v>2922</v>
      </c>
    </row>
    <row r="741" spans="22:23" hidden="1">
      <c r="V741" s="139" t="s">
        <v>2923</v>
      </c>
      <c r="W741" s="139" t="s">
        <v>2924</v>
      </c>
    </row>
    <row r="742" spans="22:23" hidden="1">
      <c r="V742" s="139" t="s">
        <v>2925</v>
      </c>
      <c r="W742" s="139" t="s">
        <v>2926</v>
      </c>
    </row>
    <row r="743" spans="22:23" hidden="1">
      <c r="V743" s="139" t="s">
        <v>2927</v>
      </c>
      <c r="W743" s="139" t="s">
        <v>2928</v>
      </c>
    </row>
    <row r="744" spans="22:23" hidden="1">
      <c r="V744" s="139" t="s">
        <v>2929</v>
      </c>
      <c r="W744" s="139" t="s">
        <v>2930</v>
      </c>
    </row>
    <row r="745" spans="22:23" hidden="1">
      <c r="V745" s="139" t="s">
        <v>2931</v>
      </c>
      <c r="W745" s="139" t="s">
        <v>2932</v>
      </c>
    </row>
    <row r="746" spans="22:23" hidden="1">
      <c r="V746" s="139" t="s">
        <v>2933</v>
      </c>
      <c r="W746" s="139" t="s">
        <v>2934</v>
      </c>
    </row>
    <row r="747" spans="22:23" hidden="1">
      <c r="V747" s="139" t="s">
        <v>2935</v>
      </c>
      <c r="W747" s="139" t="s">
        <v>2936</v>
      </c>
    </row>
    <row r="748" spans="22:23" hidden="1">
      <c r="V748" s="139" t="s">
        <v>2937</v>
      </c>
      <c r="W748" s="139" t="s">
        <v>2938</v>
      </c>
    </row>
    <row r="749" spans="22:23" hidden="1">
      <c r="V749" s="139" t="s">
        <v>2939</v>
      </c>
      <c r="W749" s="139" t="s">
        <v>2940</v>
      </c>
    </row>
    <row r="750" spans="22:23" hidden="1">
      <c r="V750" s="139" t="s">
        <v>2941</v>
      </c>
      <c r="W750" s="139" t="s">
        <v>2942</v>
      </c>
    </row>
    <row r="751" spans="22:23" hidden="1">
      <c r="V751" s="139" t="s">
        <v>2943</v>
      </c>
      <c r="W751" s="139" t="s">
        <v>2944</v>
      </c>
    </row>
    <row r="752" spans="22:23" hidden="1">
      <c r="V752" s="139" t="s">
        <v>2945</v>
      </c>
      <c r="W752" s="139" t="s">
        <v>2946</v>
      </c>
    </row>
    <row r="753" spans="22:23" hidden="1">
      <c r="V753" s="139" t="s">
        <v>2947</v>
      </c>
      <c r="W753" s="139" t="s">
        <v>2948</v>
      </c>
    </row>
    <row r="754" spans="22:23" hidden="1">
      <c r="V754" s="139" t="s">
        <v>2949</v>
      </c>
      <c r="W754" s="139" t="s">
        <v>2950</v>
      </c>
    </row>
    <row r="755" spans="22:23" hidden="1">
      <c r="V755" s="139" t="s">
        <v>2951</v>
      </c>
      <c r="W755" s="139" t="s">
        <v>2952</v>
      </c>
    </row>
    <row r="756" spans="22:23" hidden="1">
      <c r="V756" s="139" t="s">
        <v>2953</v>
      </c>
      <c r="W756" s="139" t="s">
        <v>2954</v>
      </c>
    </row>
    <row r="757" spans="22:23" hidden="1">
      <c r="V757" s="139" t="s">
        <v>2955</v>
      </c>
      <c r="W757" s="139" t="s">
        <v>2956</v>
      </c>
    </row>
    <row r="758" spans="22:23" hidden="1">
      <c r="V758" s="139" t="s">
        <v>2957</v>
      </c>
      <c r="W758" s="139" t="s">
        <v>2958</v>
      </c>
    </row>
    <row r="759" spans="22:23" hidden="1">
      <c r="V759" s="139" t="s">
        <v>2959</v>
      </c>
      <c r="W759" s="139" t="s">
        <v>2960</v>
      </c>
    </row>
    <row r="760" spans="22:23" hidden="1">
      <c r="V760" s="139" t="s">
        <v>2961</v>
      </c>
      <c r="W760" s="139" t="s">
        <v>2962</v>
      </c>
    </row>
    <row r="761" spans="22:23" hidden="1">
      <c r="V761" s="139" t="s">
        <v>2963</v>
      </c>
      <c r="W761" s="139" t="s">
        <v>2964</v>
      </c>
    </row>
    <row r="762" spans="22:23" hidden="1">
      <c r="V762" s="139" t="s">
        <v>2965</v>
      </c>
      <c r="W762" s="139" t="s">
        <v>2966</v>
      </c>
    </row>
    <row r="763" spans="22:23" hidden="1">
      <c r="V763" s="139" t="s">
        <v>2967</v>
      </c>
      <c r="W763" s="139" t="s">
        <v>2968</v>
      </c>
    </row>
    <row r="764" spans="22:23" hidden="1">
      <c r="V764" s="139" t="s">
        <v>2969</v>
      </c>
      <c r="W764" s="139" t="s">
        <v>2970</v>
      </c>
    </row>
    <row r="765" spans="22:23" hidden="1">
      <c r="V765" s="139" t="s">
        <v>2971</v>
      </c>
      <c r="W765" s="139" t="s">
        <v>2972</v>
      </c>
    </row>
    <row r="766" spans="22:23" hidden="1">
      <c r="V766" s="139" t="s">
        <v>2973</v>
      </c>
      <c r="W766" s="139" t="s">
        <v>2974</v>
      </c>
    </row>
    <row r="767" spans="22:23" hidden="1">
      <c r="V767" s="139" t="s">
        <v>2975</v>
      </c>
      <c r="W767" s="139" t="s">
        <v>2976</v>
      </c>
    </row>
    <row r="768" spans="22:23" hidden="1">
      <c r="V768" s="139" t="s">
        <v>2977</v>
      </c>
      <c r="W768" s="139" t="s">
        <v>2978</v>
      </c>
    </row>
    <row r="769" spans="22:23" hidden="1">
      <c r="V769" s="139" t="s">
        <v>2979</v>
      </c>
      <c r="W769" s="139" t="s">
        <v>2980</v>
      </c>
    </row>
    <row r="770" spans="22:23" hidden="1">
      <c r="V770" s="139" t="s">
        <v>2981</v>
      </c>
      <c r="W770" s="139" t="s">
        <v>2982</v>
      </c>
    </row>
    <row r="771" spans="22:23" hidden="1">
      <c r="V771" s="139" t="s">
        <v>2983</v>
      </c>
      <c r="W771" s="139" t="s">
        <v>2984</v>
      </c>
    </row>
    <row r="772" spans="22:23" hidden="1">
      <c r="V772" s="139" t="s">
        <v>2985</v>
      </c>
      <c r="W772" s="139" t="s">
        <v>2986</v>
      </c>
    </row>
    <row r="773" spans="22:23" hidden="1">
      <c r="V773" s="139" t="s">
        <v>2987</v>
      </c>
      <c r="W773" s="139" t="s">
        <v>2988</v>
      </c>
    </row>
    <row r="774" spans="22:23" hidden="1">
      <c r="V774" s="139" t="s">
        <v>2989</v>
      </c>
      <c r="W774" s="139" t="s">
        <v>2990</v>
      </c>
    </row>
    <row r="775" spans="22:23" hidden="1">
      <c r="V775" s="139" t="s">
        <v>2991</v>
      </c>
      <c r="W775" s="139" t="s">
        <v>2992</v>
      </c>
    </row>
    <row r="776" spans="22:23" hidden="1">
      <c r="V776" s="139" t="s">
        <v>2993</v>
      </c>
      <c r="W776" s="139" t="s">
        <v>2994</v>
      </c>
    </row>
    <row r="777" spans="22:23" hidden="1">
      <c r="V777" s="139" t="s">
        <v>2995</v>
      </c>
      <c r="W777" s="139" t="s">
        <v>2996</v>
      </c>
    </row>
    <row r="778" spans="22:23" hidden="1">
      <c r="V778" s="139" t="s">
        <v>2997</v>
      </c>
      <c r="W778" s="139" t="s">
        <v>2998</v>
      </c>
    </row>
    <row r="779" spans="22:23" hidden="1">
      <c r="V779" s="139" t="s">
        <v>2999</v>
      </c>
      <c r="W779" s="139" t="s">
        <v>3000</v>
      </c>
    </row>
    <row r="780" spans="22:23" hidden="1">
      <c r="V780" s="139" t="s">
        <v>3001</v>
      </c>
      <c r="W780" s="139" t="s">
        <v>3002</v>
      </c>
    </row>
    <row r="781" spans="22:23" hidden="1">
      <c r="V781" s="139" t="s">
        <v>3003</v>
      </c>
      <c r="W781" s="139" t="s">
        <v>3004</v>
      </c>
    </row>
    <row r="782" spans="22:23" hidden="1">
      <c r="V782" s="139" t="s">
        <v>3005</v>
      </c>
      <c r="W782" s="139" t="s">
        <v>3006</v>
      </c>
    </row>
    <row r="783" spans="22:23" hidden="1">
      <c r="V783" s="139" t="s">
        <v>3007</v>
      </c>
      <c r="W783" s="139" t="s">
        <v>3008</v>
      </c>
    </row>
    <row r="784" spans="22:23" hidden="1">
      <c r="V784" s="139" t="s">
        <v>3009</v>
      </c>
      <c r="W784" s="139" t="s">
        <v>3010</v>
      </c>
    </row>
    <row r="785" spans="22:23" hidden="1">
      <c r="V785" s="139" t="s">
        <v>3011</v>
      </c>
      <c r="W785" s="139" t="s">
        <v>3012</v>
      </c>
    </row>
    <row r="786" spans="22:23" hidden="1">
      <c r="V786" s="139" t="s">
        <v>3013</v>
      </c>
      <c r="W786" s="139" t="s">
        <v>3014</v>
      </c>
    </row>
    <row r="787" spans="22:23" hidden="1">
      <c r="V787" s="139" t="s">
        <v>3015</v>
      </c>
      <c r="W787" s="139" t="s">
        <v>3016</v>
      </c>
    </row>
    <row r="788" spans="22:23" hidden="1">
      <c r="V788" s="139" t="s">
        <v>3017</v>
      </c>
      <c r="W788" s="139" t="s">
        <v>3018</v>
      </c>
    </row>
    <row r="789" spans="22:23" hidden="1">
      <c r="V789" s="139" t="s">
        <v>3019</v>
      </c>
      <c r="W789" s="139" t="s">
        <v>3020</v>
      </c>
    </row>
    <row r="790" spans="22:23" hidden="1">
      <c r="V790" s="139" t="s">
        <v>3021</v>
      </c>
      <c r="W790" s="139" t="s">
        <v>3022</v>
      </c>
    </row>
    <row r="791" spans="22:23" hidden="1">
      <c r="V791" s="139" t="s">
        <v>3023</v>
      </c>
      <c r="W791" s="139" t="s">
        <v>3024</v>
      </c>
    </row>
    <row r="792" spans="22:23" hidden="1">
      <c r="V792" s="139" t="s">
        <v>3025</v>
      </c>
      <c r="W792" s="139" t="s">
        <v>3026</v>
      </c>
    </row>
    <row r="793" spans="22:23" hidden="1">
      <c r="V793" s="139" t="s">
        <v>3027</v>
      </c>
      <c r="W793" s="139" t="s">
        <v>3028</v>
      </c>
    </row>
    <row r="794" spans="22:23" hidden="1">
      <c r="V794" s="139" t="s">
        <v>3029</v>
      </c>
      <c r="W794" s="139" t="s">
        <v>3030</v>
      </c>
    </row>
    <row r="795" spans="22:23" hidden="1">
      <c r="V795" s="139" t="s">
        <v>3031</v>
      </c>
      <c r="W795" s="139" t="s">
        <v>3032</v>
      </c>
    </row>
    <row r="796" spans="22:23" hidden="1">
      <c r="V796" s="139" t="s">
        <v>3033</v>
      </c>
      <c r="W796" s="139" t="s">
        <v>3034</v>
      </c>
    </row>
    <row r="797" spans="22:23" hidden="1">
      <c r="V797" s="139" t="s">
        <v>3035</v>
      </c>
      <c r="W797" s="139" t="s">
        <v>3036</v>
      </c>
    </row>
    <row r="798" spans="22:23" hidden="1">
      <c r="V798" s="139" t="s">
        <v>3037</v>
      </c>
      <c r="W798" s="139" t="s">
        <v>3038</v>
      </c>
    </row>
    <row r="799" spans="22:23" hidden="1">
      <c r="V799" s="139" t="s">
        <v>3039</v>
      </c>
      <c r="W799" s="139" t="s">
        <v>3040</v>
      </c>
    </row>
    <row r="800" spans="22:23" hidden="1">
      <c r="V800" s="139" t="s">
        <v>3041</v>
      </c>
      <c r="W800" s="139" t="s">
        <v>3042</v>
      </c>
    </row>
    <row r="801" spans="22:23" hidden="1">
      <c r="V801" s="139" t="s">
        <v>3043</v>
      </c>
      <c r="W801" s="139" t="s">
        <v>3044</v>
      </c>
    </row>
    <row r="802" spans="22:23" hidden="1">
      <c r="V802" s="139" t="s">
        <v>3045</v>
      </c>
      <c r="W802" s="139" t="s">
        <v>3046</v>
      </c>
    </row>
    <row r="803" spans="22:23" hidden="1">
      <c r="V803" s="139" t="s">
        <v>3047</v>
      </c>
      <c r="W803" s="139" t="s">
        <v>3048</v>
      </c>
    </row>
    <row r="804" spans="22:23" hidden="1">
      <c r="V804" s="139" t="s">
        <v>3049</v>
      </c>
      <c r="W804" s="139" t="s">
        <v>3050</v>
      </c>
    </row>
    <row r="805" spans="22:23" hidden="1">
      <c r="V805" s="139" t="s">
        <v>3051</v>
      </c>
      <c r="W805" s="139" t="s">
        <v>3052</v>
      </c>
    </row>
    <row r="806" spans="22:23" hidden="1">
      <c r="V806" s="139" t="s">
        <v>3053</v>
      </c>
      <c r="W806" s="139" t="s">
        <v>3054</v>
      </c>
    </row>
    <row r="807" spans="22:23" hidden="1">
      <c r="V807" s="139" t="s">
        <v>3055</v>
      </c>
      <c r="W807" s="139" t="s">
        <v>3056</v>
      </c>
    </row>
    <row r="808" spans="22:23" hidden="1">
      <c r="V808" s="139" t="s">
        <v>3057</v>
      </c>
      <c r="W808" s="139" t="s">
        <v>3058</v>
      </c>
    </row>
    <row r="809" spans="22:23" hidden="1">
      <c r="V809" s="139" t="s">
        <v>3059</v>
      </c>
      <c r="W809" s="139" t="s">
        <v>3060</v>
      </c>
    </row>
    <row r="810" spans="22:23" hidden="1">
      <c r="V810" s="139" t="s">
        <v>3061</v>
      </c>
      <c r="W810" s="139" t="s">
        <v>3062</v>
      </c>
    </row>
    <row r="811" spans="22:23" hidden="1">
      <c r="V811" s="139" t="s">
        <v>3063</v>
      </c>
      <c r="W811" s="139" t="s">
        <v>3064</v>
      </c>
    </row>
    <row r="812" spans="22:23" hidden="1">
      <c r="V812" s="139" t="s">
        <v>3065</v>
      </c>
      <c r="W812" s="139" t="s">
        <v>3066</v>
      </c>
    </row>
    <row r="813" spans="22:23" hidden="1">
      <c r="V813" s="139" t="s">
        <v>3067</v>
      </c>
      <c r="W813" s="139" t="s">
        <v>3068</v>
      </c>
    </row>
    <row r="814" spans="22:23" hidden="1">
      <c r="V814" s="139" t="s">
        <v>3069</v>
      </c>
      <c r="W814" s="139" t="s">
        <v>3070</v>
      </c>
    </row>
    <row r="815" spans="22:23" hidden="1">
      <c r="V815" s="139" t="s">
        <v>3071</v>
      </c>
      <c r="W815" s="139" t="s">
        <v>3072</v>
      </c>
    </row>
    <row r="816" spans="22:23" hidden="1">
      <c r="V816" s="139" t="s">
        <v>3073</v>
      </c>
      <c r="W816" s="139" t="s">
        <v>3074</v>
      </c>
    </row>
    <row r="817" spans="22:23" hidden="1">
      <c r="V817" s="139" t="s">
        <v>3075</v>
      </c>
      <c r="W817" s="139" t="s">
        <v>3076</v>
      </c>
    </row>
    <row r="818" spans="22:23" hidden="1">
      <c r="V818" s="139" t="s">
        <v>3077</v>
      </c>
      <c r="W818" s="139" t="s">
        <v>3078</v>
      </c>
    </row>
    <row r="819" spans="22:23" hidden="1">
      <c r="V819" s="139" t="s">
        <v>3079</v>
      </c>
      <c r="W819" s="139" t="s">
        <v>3080</v>
      </c>
    </row>
    <row r="820" spans="22:23" hidden="1">
      <c r="V820" s="139" t="s">
        <v>3081</v>
      </c>
      <c r="W820" s="139" t="s">
        <v>3082</v>
      </c>
    </row>
    <row r="821" spans="22:23" hidden="1">
      <c r="V821" s="139" t="s">
        <v>3083</v>
      </c>
      <c r="W821" s="139" t="s">
        <v>3084</v>
      </c>
    </row>
    <row r="822" spans="22:23" hidden="1">
      <c r="V822" s="139" t="s">
        <v>3085</v>
      </c>
      <c r="W822" s="139" t="s">
        <v>3086</v>
      </c>
    </row>
    <row r="823" spans="22:23" hidden="1">
      <c r="V823" s="139" t="s">
        <v>3087</v>
      </c>
      <c r="W823" s="139" t="s">
        <v>3088</v>
      </c>
    </row>
    <row r="824" spans="22:23" hidden="1">
      <c r="V824" s="139" t="s">
        <v>3089</v>
      </c>
      <c r="W824" s="139" t="s">
        <v>3090</v>
      </c>
    </row>
    <row r="825" spans="22:23" hidden="1">
      <c r="V825" s="139" t="s">
        <v>3091</v>
      </c>
      <c r="W825" s="139" t="s">
        <v>3092</v>
      </c>
    </row>
    <row r="826" spans="22:23" hidden="1">
      <c r="V826" s="139" t="s">
        <v>3093</v>
      </c>
      <c r="W826" s="139" t="s">
        <v>3094</v>
      </c>
    </row>
    <row r="827" spans="22:23" hidden="1">
      <c r="V827" s="139" t="s">
        <v>3095</v>
      </c>
      <c r="W827" s="139" t="s">
        <v>3096</v>
      </c>
    </row>
    <row r="828" spans="22:23" hidden="1">
      <c r="V828" s="139" t="s">
        <v>3097</v>
      </c>
      <c r="W828" s="139" t="s">
        <v>3098</v>
      </c>
    </row>
    <row r="829" spans="22:23" hidden="1">
      <c r="V829" s="139" t="s">
        <v>3099</v>
      </c>
      <c r="W829" s="139" t="s">
        <v>3100</v>
      </c>
    </row>
    <row r="830" spans="22:23" hidden="1">
      <c r="V830" s="139" t="s">
        <v>3101</v>
      </c>
      <c r="W830" s="139" t="s">
        <v>3102</v>
      </c>
    </row>
    <row r="831" spans="22:23" hidden="1">
      <c r="V831" s="139" t="s">
        <v>3103</v>
      </c>
      <c r="W831" s="139" t="s">
        <v>3104</v>
      </c>
    </row>
    <row r="832" spans="22:23" hidden="1">
      <c r="V832" s="139" t="s">
        <v>3105</v>
      </c>
      <c r="W832" s="139" t="s">
        <v>3106</v>
      </c>
    </row>
    <row r="833" spans="22:23" hidden="1">
      <c r="V833" s="139" t="s">
        <v>3107</v>
      </c>
      <c r="W833" s="139" t="s">
        <v>3108</v>
      </c>
    </row>
    <row r="834" spans="22:23" hidden="1">
      <c r="V834" s="139" t="s">
        <v>3109</v>
      </c>
      <c r="W834" s="139" t="s">
        <v>3110</v>
      </c>
    </row>
    <row r="835" spans="22:23" hidden="1">
      <c r="V835" s="139" t="s">
        <v>3111</v>
      </c>
      <c r="W835" s="139" t="s">
        <v>3112</v>
      </c>
    </row>
    <row r="836" spans="22:23" hidden="1">
      <c r="V836" s="139" t="s">
        <v>3113</v>
      </c>
      <c r="W836" s="139" t="s">
        <v>3114</v>
      </c>
    </row>
    <row r="837" spans="22:23" hidden="1">
      <c r="V837" s="139" t="s">
        <v>3115</v>
      </c>
      <c r="W837" s="139" t="s">
        <v>3116</v>
      </c>
    </row>
    <row r="838" spans="22:23" hidden="1">
      <c r="V838" s="139" t="s">
        <v>3117</v>
      </c>
      <c r="W838" s="139" t="s">
        <v>3118</v>
      </c>
    </row>
    <row r="839" spans="22:23" hidden="1">
      <c r="V839" s="139" t="s">
        <v>3119</v>
      </c>
      <c r="W839" s="139" t="s">
        <v>3120</v>
      </c>
    </row>
    <row r="840" spans="22:23" hidden="1">
      <c r="V840" s="139" t="s">
        <v>3121</v>
      </c>
      <c r="W840" s="139" t="s">
        <v>3122</v>
      </c>
    </row>
    <row r="841" spans="22:23" hidden="1">
      <c r="V841" s="139" t="s">
        <v>3123</v>
      </c>
      <c r="W841" s="139" t="s">
        <v>3124</v>
      </c>
    </row>
    <row r="842" spans="22:23" hidden="1">
      <c r="V842" s="139" t="s">
        <v>3125</v>
      </c>
      <c r="W842" s="139" t="s">
        <v>3126</v>
      </c>
    </row>
    <row r="843" spans="22:23" hidden="1">
      <c r="V843" s="139" t="s">
        <v>3127</v>
      </c>
      <c r="W843" s="139" t="s">
        <v>3128</v>
      </c>
    </row>
    <row r="844" spans="22:23" hidden="1">
      <c r="V844" s="139" t="s">
        <v>3129</v>
      </c>
      <c r="W844" s="139" t="s">
        <v>3130</v>
      </c>
    </row>
    <row r="845" spans="22:23" hidden="1">
      <c r="V845" s="139" t="s">
        <v>3131</v>
      </c>
      <c r="W845" s="139" t="s">
        <v>3132</v>
      </c>
    </row>
    <row r="846" spans="22:23" hidden="1">
      <c r="V846" s="139" t="s">
        <v>3133</v>
      </c>
      <c r="W846" s="139" t="s">
        <v>3134</v>
      </c>
    </row>
    <row r="847" spans="22:23" hidden="1">
      <c r="V847" s="139" t="s">
        <v>3135</v>
      </c>
      <c r="W847" s="139" t="s">
        <v>3136</v>
      </c>
    </row>
    <row r="848" spans="22:23" hidden="1">
      <c r="V848" s="139" t="s">
        <v>3137</v>
      </c>
      <c r="W848" s="139" t="s">
        <v>3138</v>
      </c>
    </row>
    <row r="849" spans="22:23" hidden="1">
      <c r="V849" s="139" t="s">
        <v>3139</v>
      </c>
      <c r="W849" s="139" t="s">
        <v>3140</v>
      </c>
    </row>
    <row r="850" spans="22:23" hidden="1">
      <c r="V850" s="139" t="s">
        <v>3141</v>
      </c>
      <c r="W850" s="139" t="s">
        <v>3142</v>
      </c>
    </row>
    <row r="851" spans="22:23" hidden="1">
      <c r="V851" s="139" t="s">
        <v>3143</v>
      </c>
      <c r="W851" s="139" t="s">
        <v>3144</v>
      </c>
    </row>
    <row r="852" spans="22:23" hidden="1">
      <c r="V852" s="139" t="s">
        <v>3145</v>
      </c>
      <c r="W852" s="139" t="s">
        <v>3146</v>
      </c>
    </row>
    <row r="853" spans="22:23" hidden="1">
      <c r="V853" s="139" t="s">
        <v>3147</v>
      </c>
      <c r="W853" s="139" t="s">
        <v>3148</v>
      </c>
    </row>
    <row r="854" spans="22:23" hidden="1">
      <c r="V854" s="139" t="s">
        <v>3149</v>
      </c>
      <c r="W854" s="139" t="s">
        <v>3150</v>
      </c>
    </row>
    <row r="855" spans="22:23" hidden="1">
      <c r="V855" s="139" t="s">
        <v>3151</v>
      </c>
      <c r="W855" s="139" t="s">
        <v>3152</v>
      </c>
    </row>
    <row r="856" spans="22:23" hidden="1">
      <c r="V856" s="139" t="s">
        <v>3153</v>
      </c>
      <c r="W856" s="139" t="s">
        <v>3154</v>
      </c>
    </row>
    <row r="857" spans="22:23" hidden="1">
      <c r="V857" s="139" t="s">
        <v>3155</v>
      </c>
      <c r="W857" s="139" t="s">
        <v>3156</v>
      </c>
    </row>
    <row r="858" spans="22:23" hidden="1">
      <c r="V858" s="139" t="s">
        <v>3157</v>
      </c>
      <c r="W858" s="139" t="s">
        <v>3158</v>
      </c>
    </row>
    <row r="859" spans="22:23" hidden="1">
      <c r="V859" s="139" t="s">
        <v>3159</v>
      </c>
      <c r="W859" s="139" t="s">
        <v>3160</v>
      </c>
    </row>
    <row r="860" spans="22:23" hidden="1">
      <c r="V860" s="139" t="s">
        <v>3161</v>
      </c>
      <c r="W860" s="139" t="s">
        <v>3162</v>
      </c>
    </row>
    <row r="861" spans="22:23" hidden="1">
      <c r="V861" s="139" t="s">
        <v>3163</v>
      </c>
      <c r="W861" s="139" t="s">
        <v>3164</v>
      </c>
    </row>
    <row r="862" spans="22:23" hidden="1">
      <c r="V862" s="139" t="s">
        <v>3165</v>
      </c>
      <c r="W862" s="139" t="s">
        <v>3166</v>
      </c>
    </row>
    <row r="863" spans="22:23" hidden="1">
      <c r="V863" s="139" t="s">
        <v>3167</v>
      </c>
      <c r="W863" s="139" t="s">
        <v>2538</v>
      </c>
    </row>
    <row r="864" spans="22:23" hidden="1">
      <c r="V864" s="139" t="s">
        <v>3168</v>
      </c>
      <c r="W864" s="139" t="s">
        <v>3169</v>
      </c>
    </row>
    <row r="865" spans="22:23" hidden="1">
      <c r="V865" s="139" t="s">
        <v>3170</v>
      </c>
      <c r="W865" s="139" t="s">
        <v>3171</v>
      </c>
    </row>
    <row r="866" spans="22:23" hidden="1">
      <c r="V866" s="139" t="s">
        <v>3172</v>
      </c>
      <c r="W866" s="139" t="s">
        <v>3173</v>
      </c>
    </row>
    <row r="867" spans="22:23" hidden="1">
      <c r="V867" s="139" t="s">
        <v>3174</v>
      </c>
      <c r="W867" s="139" t="s">
        <v>3175</v>
      </c>
    </row>
    <row r="868" spans="22:23" hidden="1">
      <c r="V868" s="139" t="s">
        <v>3176</v>
      </c>
      <c r="W868" s="139" t="s">
        <v>3177</v>
      </c>
    </row>
    <row r="869" spans="22:23" hidden="1">
      <c r="V869" s="139" t="s">
        <v>3178</v>
      </c>
      <c r="W869" s="139" t="s">
        <v>3179</v>
      </c>
    </row>
    <row r="870" spans="22:23" hidden="1">
      <c r="V870" s="139" t="s">
        <v>3180</v>
      </c>
      <c r="W870" s="139" t="s">
        <v>3181</v>
      </c>
    </row>
    <row r="871" spans="22:23" hidden="1">
      <c r="V871" s="139" t="s">
        <v>3182</v>
      </c>
      <c r="W871" s="139" t="s">
        <v>3183</v>
      </c>
    </row>
    <row r="872" spans="22:23" hidden="1">
      <c r="V872" s="139" t="s">
        <v>3184</v>
      </c>
      <c r="W872" s="139" t="s">
        <v>3185</v>
      </c>
    </row>
    <row r="873" spans="22:23" hidden="1">
      <c r="V873" s="139" t="s">
        <v>3186</v>
      </c>
      <c r="W873" s="139" t="s">
        <v>3187</v>
      </c>
    </row>
    <row r="874" spans="22:23" hidden="1">
      <c r="V874" s="139" t="s">
        <v>3188</v>
      </c>
      <c r="W874" s="139" t="s">
        <v>3189</v>
      </c>
    </row>
    <row r="875" spans="22:23" hidden="1">
      <c r="V875" s="139" t="s">
        <v>3190</v>
      </c>
      <c r="W875" s="139" t="s">
        <v>3191</v>
      </c>
    </row>
    <row r="876" spans="22:23" hidden="1">
      <c r="V876" s="139" t="s">
        <v>3192</v>
      </c>
      <c r="W876" s="139" t="s">
        <v>3193</v>
      </c>
    </row>
    <row r="877" spans="22:23" hidden="1">
      <c r="V877" s="139" t="s">
        <v>3194</v>
      </c>
      <c r="W877" s="139" t="s">
        <v>3195</v>
      </c>
    </row>
    <row r="878" spans="22:23" hidden="1">
      <c r="V878" s="139" t="s">
        <v>3196</v>
      </c>
      <c r="W878" s="139" t="s">
        <v>3197</v>
      </c>
    </row>
    <row r="879" spans="22:23" hidden="1">
      <c r="V879" s="139" t="s">
        <v>3198</v>
      </c>
      <c r="W879" s="139" t="s">
        <v>3199</v>
      </c>
    </row>
    <row r="880" spans="22:23" hidden="1">
      <c r="V880" s="139" t="s">
        <v>3200</v>
      </c>
      <c r="W880" s="139" t="s">
        <v>3201</v>
      </c>
    </row>
    <row r="881" spans="22:23" hidden="1">
      <c r="V881" s="139" t="s">
        <v>3202</v>
      </c>
      <c r="W881" s="139" t="s">
        <v>3203</v>
      </c>
    </row>
    <row r="882" spans="22:23" hidden="1">
      <c r="V882" s="139" t="s">
        <v>3204</v>
      </c>
      <c r="W882" s="139" t="s">
        <v>3205</v>
      </c>
    </row>
    <row r="883" spans="22:23" hidden="1">
      <c r="V883" s="139" t="s">
        <v>3206</v>
      </c>
      <c r="W883" s="139" t="s">
        <v>3207</v>
      </c>
    </row>
    <row r="884" spans="22:23" hidden="1">
      <c r="V884" s="139" t="s">
        <v>3208</v>
      </c>
      <c r="W884" s="139" t="s">
        <v>3209</v>
      </c>
    </row>
    <row r="885" spans="22:23" hidden="1">
      <c r="V885" s="139" t="s">
        <v>3210</v>
      </c>
      <c r="W885" s="139" t="s">
        <v>3211</v>
      </c>
    </row>
    <row r="886" spans="22:23" hidden="1">
      <c r="V886" s="139" t="s">
        <v>3212</v>
      </c>
      <c r="W886" s="139" t="s">
        <v>3213</v>
      </c>
    </row>
    <row r="887" spans="22:23" hidden="1">
      <c r="V887" s="139" t="s">
        <v>3214</v>
      </c>
      <c r="W887" s="139" t="s">
        <v>3215</v>
      </c>
    </row>
    <row r="888" spans="22:23" hidden="1">
      <c r="V888" s="139" t="s">
        <v>3216</v>
      </c>
      <c r="W888" s="139" t="s">
        <v>3217</v>
      </c>
    </row>
    <row r="889" spans="22:23" hidden="1">
      <c r="V889" s="139" t="s">
        <v>3218</v>
      </c>
      <c r="W889" s="139" t="s">
        <v>3219</v>
      </c>
    </row>
    <row r="890" spans="22:23" hidden="1">
      <c r="V890" s="139" t="s">
        <v>3220</v>
      </c>
      <c r="W890" s="139" t="s">
        <v>3221</v>
      </c>
    </row>
    <row r="891" spans="22:23" hidden="1">
      <c r="V891" s="139" t="s">
        <v>3222</v>
      </c>
      <c r="W891" s="139" t="s">
        <v>3223</v>
      </c>
    </row>
    <row r="892" spans="22:23" hidden="1">
      <c r="V892" s="139" t="s">
        <v>3224</v>
      </c>
      <c r="W892" s="139" t="s">
        <v>3225</v>
      </c>
    </row>
    <row r="893" spans="22:23" hidden="1">
      <c r="V893" s="139" t="s">
        <v>3226</v>
      </c>
      <c r="W893" s="139" t="s">
        <v>3227</v>
      </c>
    </row>
    <row r="894" spans="22:23" hidden="1">
      <c r="V894" s="139" t="s">
        <v>3228</v>
      </c>
      <c r="W894" s="139" t="s">
        <v>3229</v>
      </c>
    </row>
    <row r="895" spans="22:23" hidden="1">
      <c r="V895" s="139" t="s">
        <v>3230</v>
      </c>
      <c r="W895" s="139" t="s">
        <v>3231</v>
      </c>
    </row>
    <row r="896" spans="22:23" hidden="1">
      <c r="V896" s="139" t="s">
        <v>3232</v>
      </c>
      <c r="W896" s="139" t="s">
        <v>3233</v>
      </c>
    </row>
    <row r="897" spans="22:23" hidden="1">
      <c r="V897" s="139" t="s">
        <v>3234</v>
      </c>
      <c r="W897" s="139" t="s">
        <v>3235</v>
      </c>
    </row>
    <row r="898" spans="22:23" hidden="1">
      <c r="V898" s="139" t="s">
        <v>3236</v>
      </c>
      <c r="W898" s="139" t="s">
        <v>3237</v>
      </c>
    </row>
    <row r="899" spans="22:23" hidden="1">
      <c r="V899" s="139" t="s">
        <v>3238</v>
      </c>
      <c r="W899" s="139" t="s">
        <v>3239</v>
      </c>
    </row>
    <row r="900" spans="22:23" hidden="1">
      <c r="V900" s="139" t="s">
        <v>3240</v>
      </c>
      <c r="W900" s="139" t="s">
        <v>3241</v>
      </c>
    </row>
    <row r="901" spans="22:23" hidden="1">
      <c r="V901" s="139" t="s">
        <v>3242</v>
      </c>
      <c r="W901" s="139" t="s">
        <v>3243</v>
      </c>
    </row>
    <row r="902" spans="22:23" hidden="1">
      <c r="V902" s="139" t="s">
        <v>3244</v>
      </c>
      <c r="W902" s="139" t="s">
        <v>3245</v>
      </c>
    </row>
    <row r="903" spans="22:23" hidden="1">
      <c r="V903" s="139" t="s">
        <v>3246</v>
      </c>
      <c r="W903" s="139" t="s">
        <v>3247</v>
      </c>
    </row>
    <row r="904" spans="22:23" hidden="1">
      <c r="V904" s="139" t="s">
        <v>3248</v>
      </c>
      <c r="W904" s="139" t="s">
        <v>3249</v>
      </c>
    </row>
    <row r="905" spans="22:23" hidden="1">
      <c r="V905" s="139" t="s">
        <v>3250</v>
      </c>
      <c r="W905" s="139" t="s">
        <v>3251</v>
      </c>
    </row>
    <row r="906" spans="22:23" hidden="1">
      <c r="V906" s="139" t="s">
        <v>3252</v>
      </c>
      <c r="W906" s="139" t="s">
        <v>3253</v>
      </c>
    </row>
    <row r="907" spans="22:23" hidden="1">
      <c r="V907" s="139" t="s">
        <v>3254</v>
      </c>
      <c r="W907" s="139" t="s">
        <v>3185</v>
      </c>
    </row>
    <row r="908" spans="22:23" hidden="1">
      <c r="V908" s="139" t="s">
        <v>3255</v>
      </c>
      <c r="W908" s="139" t="s">
        <v>3191</v>
      </c>
    </row>
    <row r="909" spans="22:23" hidden="1">
      <c r="V909" s="139" t="s">
        <v>3256</v>
      </c>
      <c r="W909" s="139" t="s">
        <v>3257</v>
      </c>
    </row>
    <row r="910" spans="22:23" hidden="1">
      <c r="V910" s="139" t="s">
        <v>3258</v>
      </c>
      <c r="W910" s="139" t="s">
        <v>3259</v>
      </c>
    </row>
    <row r="911" spans="22:23" hidden="1">
      <c r="V911" s="139" t="s">
        <v>3260</v>
      </c>
      <c r="W911" s="139" t="s">
        <v>3261</v>
      </c>
    </row>
    <row r="912" spans="22:23" hidden="1">
      <c r="V912" s="139" t="s">
        <v>3262</v>
      </c>
      <c r="W912" s="139" t="s">
        <v>3263</v>
      </c>
    </row>
    <row r="913" spans="22:23" hidden="1">
      <c r="V913" s="139" t="s">
        <v>3264</v>
      </c>
      <c r="W913" s="139" t="s">
        <v>3265</v>
      </c>
    </row>
    <row r="914" spans="22:23" hidden="1">
      <c r="V914" s="139" t="s">
        <v>3266</v>
      </c>
      <c r="W914" s="139" t="s">
        <v>3267</v>
      </c>
    </row>
    <row r="915" spans="22:23" hidden="1">
      <c r="V915" s="139" t="s">
        <v>3268</v>
      </c>
      <c r="W915" s="139" t="s">
        <v>3269</v>
      </c>
    </row>
    <row r="916" spans="22:23" hidden="1">
      <c r="V916" s="139" t="s">
        <v>3270</v>
      </c>
      <c r="W916" s="139" t="s">
        <v>3271</v>
      </c>
    </row>
    <row r="917" spans="22:23" hidden="1">
      <c r="V917" s="139" t="s">
        <v>3272</v>
      </c>
      <c r="W917" s="139" t="s">
        <v>3273</v>
      </c>
    </row>
    <row r="918" spans="22:23" hidden="1">
      <c r="V918" s="139" t="s">
        <v>3274</v>
      </c>
      <c r="W918" s="139" t="s">
        <v>3275</v>
      </c>
    </row>
    <row r="919" spans="22:23" hidden="1">
      <c r="V919" s="139" t="s">
        <v>3276</v>
      </c>
      <c r="W919" s="139" t="s">
        <v>3277</v>
      </c>
    </row>
    <row r="920" spans="22:23" hidden="1">
      <c r="V920" s="139" t="s">
        <v>3278</v>
      </c>
      <c r="W920" s="139" t="s">
        <v>3279</v>
      </c>
    </row>
    <row r="921" spans="22:23" hidden="1">
      <c r="V921" s="139" t="s">
        <v>3280</v>
      </c>
      <c r="W921" s="139" t="s">
        <v>3281</v>
      </c>
    </row>
    <row r="922" spans="22:23" hidden="1">
      <c r="V922" s="139" t="s">
        <v>3282</v>
      </c>
      <c r="W922" s="139" t="s">
        <v>3283</v>
      </c>
    </row>
    <row r="923" spans="22:23" hidden="1">
      <c r="V923" s="139" t="s">
        <v>3284</v>
      </c>
      <c r="W923" s="139" t="s">
        <v>3285</v>
      </c>
    </row>
    <row r="924" spans="22:23" hidden="1">
      <c r="V924" s="139" t="s">
        <v>3286</v>
      </c>
      <c r="W924" s="139" t="s">
        <v>3287</v>
      </c>
    </row>
    <row r="925" spans="22:23" hidden="1">
      <c r="V925" s="139" t="s">
        <v>3288</v>
      </c>
      <c r="W925" s="139" t="s">
        <v>3289</v>
      </c>
    </row>
    <row r="926" spans="22:23" hidden="1">
      <c r="V926" s="139" t="s">
        <v>3290</v>
      </c>
      <c r="W926" s="139" t="s">
        <v>3291</v>
      </c>
    </row>
    <row r="927" spans="22:23" hidden="1">
      <c r="V927" s="139" t="s">
        <v>3292</v>
      </c>
      <c r="W927" s="139" t="s">
        <v>3293</v>
      </c>
    </row>
    <row r="928" spans="22:23" hidden="1">
      <c r="V928" s="139" t="s">
        <v>3294</v>
      </c>
      <c r="W928" s="139" t="s">
        <v>3295</v>
      </c>
    </row>
    <row r="929" spans="22:23" hidden="1">
      <c r="V929" s="139" t="s">
        <v>3296</v>
      </c>
      <c r="W929" s="139" t="s">
        <v>3297</v>
      </c>
    </row>
    <row r="930" spans="22:23" hidden="1">
      <c r="V930" s="139" t="s">
        <v>3298</v>
      </c>
      <c r="W930" s="139" t="s">
        <v>3299</v>
      </c>
    </row>
    <row r="931" spans="22:23" hidden="1">
      <c r="V931" s="139" t="s">
        <v>3300</v>
      </c>
      <c r="W931" s="139" t="s">
        <v>3301</v>
      </c>
    </row>
    <row r="932" spans="22:23" hidden="1">
      <c r="V932" s="139" t="s">
        <v>3302</v>
      </c>
      <c r="W932" s="139" t="s">
        <v>3303</v>
      </c>
    </row>
    <row r="933" spans="22:23" hidden="1">
      <c r="V933" s="139" t="s">
        <v>3304</v>
      </c>
      <c r="W933" s="139" t="s">
        <v>3305</v>
      </c>
    </row>
    <row r="934" spans="22:23" hidden="1">
      <c r="V934" s="139" t="s">
        <v>3306</v>
      </c>
      <c r="W934" s="139" t="s">
        <v>3307</v>
      </c>
    </row>
    <row r="935" spans="22:23" hidden="1">
      <c r="V935" s="139" t="s">
        <v>3308</v>
      </c>
      <c r="W935" s="139" t="s">
        <v>3309</v>
      </c>
    </row>
    <row r="936" spans="22:23" hidden="1">
      <c r="V936" s="139" t="s">
        <v>3310</v>
      </c>
      <c r="W936" s="139" t="s">
        <v>3311</v>
      </c>
    </row>
    <row r="937" spans="22:23" hidden="1">
      <c r="V937" s="139" t="s">
        <v>3312</v>
      </c>
      <c r="W937" s="139" t="s">
        <v>3313</v>
      </c>
    </row>
    <row r="938" spans="22:23" hidden="1">
      <c r="V938" s="139" t="s">
        <v>3314</v>
      </c>
      <c r="W938" s="139" t="s">
        <v>3315</v>
      </c>
    </row>
    <row r="939" spans="22:23" hidden="1">
      <c r="V939" s="139" t="s">
        <v>3316</v>
      </c>
      <c r="W939" s="139" t="s">
        <v>3317</v>
      </c>
    </row>
    <row r="940" spans="22:23" hidden="1">
      <c r="V940" s="139" t="s">
        <v>3318</v>
      </c>
      <c r="W940" s="139" t="s">
        <v>3319</v>
      </c>
    </row>
    <row r="941" spans="22:23" hidden="1">
      <c r="V941" s="139" t="s">
        <v>3320</v>
      </c>
      <c r="W941" s="139" t="s">
        <v>3321</v>
      </c>
    </row>
    <row r="942" spans="22:23" hidden="1">
      <c r="V942" s="139" t="s">
        <v>3322</v>
      </c>
      <c r="W942" s="139" t="s">
        <v>2968</v>
      </c>
    </row>
    <row r="943" spans="22:23" hidden="1">
      <c r="V943" s="139" t="s">
        <v>3323</v>
      </c>
      <c r="W943" s="139" t="s">
        <v>3324</v>
      </c>
    </row>
    <row r="944" spans="22:23" hidden="1">
      <c r="V944" s="139" t="s">
        <v>3325</v>
      </c>
      <c r="W944" s="139" t="s">
        <v>3326</v>
      </c>
    </row>
    <row r="945" spans="22:23" hidden="1">
      <c r="V945" s="139" t="s">
        <v>3327</v>
      </c>
      <c r="W945" s="139" t="s">
        <v>3328</v>
      </c>
    </row>
    <row r="946" spans="22:23" hidden="1">
      <c r="V946" s="139" t="s">
        <v>3329</v>
      </c>
      <c r="W946" s="139" t="s">
        <v>3330</v>
      </c>
    </row>
    <row r="947" spans="22:23" hidden="1">
      <c r="V947" s="139" t="s">
        <v>3331</v>
      </c>
      <c r="W947" s="139" t="s">
        <v>3332</v>
      </c>
    </row>
    <row r="948" spans="22:23" hidden="1">
      <c r="V948" s="139" t="s">
        <v>3333</v>
      </c>
      <c r="W948" s="139" t="s">
        <v>3334</v>
      </c>
    </row>
    <row r="949" spans="22:23" hidden="1">
      <c r="V949" s="139" t="s">
        <v>3335</v>
      </c>
      <c r="W949" s="139" t="s">
        <v>3336</v>
      </c>
    </row>
    <row r="950" spans="22:23" hidden="1">
      <c r="V950" s="139" t="s">
        <v>3337</v>
      </c>
      <c r="W950" s="139" t="s">
        <v>3338</v>
      </c>
    </row>
    <row r="951" spans="22:23" hidden="1">
      <c r="V951" s="139" t="s">
        <v>3339</v>
      </c>
      <c r="W951" s="139" t="s">
        <v>3340</v>
      </c>
    </row>
    <row r="952" spans="22:23" hidden="1">
      <c r="V952" s="139" t="s">
        <v>3341</v>
      </c>
      <c r="W952" s="139" t="s">
        <v>3342</v>
      </c>
    </row>
    <row r="953" spans="22:23" hidden="1">
      <c r="V953" s="139" t="s">
        <v>3343</v>
      </c>
      <c r="W953" s="139" t="s">
        <v>3344</v>
      </c>
    </row>
    <row r="954" spans="22:23" hidden="1">
      <c r="V954" s="139" t="s">
        <v>977</v>
      </c>
      <c r="W954" s="139" t="s">
        <v>978</v>
      </c>
    </row>
    <row r="955" spans="22:23" hidden="1">
      <c r="V955" s="139" t="s">
        <v>979</v>
      </c>
      <c r="W955" s="139" t="s">
        <v>980</v>
      </c>
    </row>
    <row r="956" spans="22:23" hidden="1">
      <c r="V956" s="139" t="s">
        <v>981</v>
      </c>
      <c r="W956" s="139" t="s">
        <v>982</v>
      </c>
    </row>
    <row r="957" spans="22:23" hidden="1">
      <c r="V957" s="139" t="s">
        <v>1752</v>
      </c>
      <c r="W957" s="139" t="s">
        <v>1753</v>
      </c>
    </row>
    <row r="958" spans="22:23" hidden="1">
      <c r="V958" s="139" t="s">
        <v>1754</v>
      </c>
      <c r="W958" s="139" t="s">
        <v>1755</v>
      </c>
    </row>
    <row r="959" spans="22:23" hidden="1">
      <c r="V959" s="139" t="s">
        <v>3345</v>
      </c>
      <c r="W959" s="139" t="s">
        <v>3346</v>
      </c>
    </row>
    <row r="960" spans="22:23" hidden="1">
      <c r="V960" s="139" t="s">
        <v>3347</v>
      </c>
      <c r="W960" s="139" t="s">
        <v>3348</v>
      </c>
    </row>
    <row r="961" spans="22:23" hidden="1">
      <c r="V961" s="139" t="s">
        <v>3349</v>
      </c>
      <c r="W961" s="139" t="s">
        <v>3350</v>
      </c>
    </row>
    <row r="962" spans="22:23" hidden="1">
      <c r="V962" s="139" t="s">
        <v>3351</v>
      </c>
      <c r="W962" s="139" t="s">
        <v>3352</v>
      </c>
    </row>
    <row r="963" spans="22:23" hidden="1">
      <c r="V963" s="139" t="s">
        <v>3353</v>
      </c>
      <c r="W963" s="139" t="s">
        <v>3352</v>
      </c>
    </row>
    <row r="964" spans="22:23" hidden="1">
      <c r="V964" s="139" t="s">
        <v>3354</v>
      </c>
      <c r="W964" s="139" t="s">
        <v>3355</v>
      </c>
    </row>
    <row r="965" spans="22:23" hidden="1">
      <c r="V965" s="139" t="s">
        <v>3356</v>
      </c>
      <c r="W965" s="139" t="s">
        <v>3357</v>
      </c>
    </row>
    <row r="966" spans="22:23" hidden="1">
      <c r="V966" s="139" t="s">
        <v>983</v>
      </c>
      <c r="W966" s="139" t="s">
        <v>339</v>
      </c>
    </row>
    <row r="967" spans="22:23" hidden="1">
      <c r="V967" s="139" t="s">
        <v>984</v>
      </c>
      <c r="W967" s="139" t="s">
        <v>340</v>
      </c>
    </row>
    <row r="968" spans="22:23" hidden="1">
      <c r="V968" s="139" t="s">
        <v>985</v>
      </c>
      <c r="W968" s="139" t="s">
        <v>986</v>
      </c>
    </row>
    <row r="969" spans="22:23" hidden="1">
      <c r="V969" s="139" t="s">
        <v>987</v>
      </c>
      <c r="W969" s="139" t="s">
        <v>988</v>
      </c>
    </row>
    <row r="970" spans="22:23" hidden="1">
      <c r="V970" s="139" t="s">
        <v>1756</v>
      </c>
      <c r="W970" s="139" t="s">
        <v>1309</v>
      </c>
    </row>
    <row r="971" spans="22:23" hidden="1">
      <c r="V971" s="139" t="s">
        <v>3358</v>
      </c>
      <c r="W971" s="139" t="s">
        <v>3359</v>
      </c>
    </row>
    <row r="972" spans="22:23" hidden="1">
      <c r="V972" s="139" t="s">
        <v>3360</v>
      </c>
      <c r="W972" s="139" t="s">
        <v>1316</v>
      </c>
    </row>
    <row r="973" spans="22:23" hidden="1">
      <c r="V973" s="139" t="s">
        <v>989</v>
      </c>
      <c r="W973" s="139" t="s">
        <v>990</v>
      </c>
    </row>
    <row r="974" spans="22:23" hidden="1">
      <c r="V974" s="139" t="s">
        <v>991</v>
      </c>
      <c r="W974" s="139" t="s">
        <v>992</v>
      </c>
    </row>
    <row r="975" spans="22:23" hidden="1">
      <c r="V975" s="139" t="s">
        <v>993</v>
      </c>
      <c r="W975" s="139" t="s">
        <v>994</v>
      </c>
    </row>
    <row r="976" spans="22:23" hidden="1">
      <c r="V976" s="139" t="s">
        <v>3361</v>
      </c>
      <c r="W976" s="139" t="s">
        <v>3362</v>
      </c>
    </row>
    <row r="977" spans="22:23" hidden="1">
      <c r="V977" s="139" t="s">
        <v>3363</v>
      </c>
      <c r="W977" s="139" t="s">
        <v>3364</v>
      </c>
    </row>
    <row r="978" spans="22:23" hidden="1">
      <c r="V978" s="139" t="s">
        <v>995</v>
      </c>
      <c r="W978" s="139" t="s">
        <v>996</v>
      </c>
    </row>
    <row r="979" spans="22:23" hidden="1">
      <c r="V979" s="139" t="s">
        <v>997</v>
      </c>
      <c r="W979" s="139" t="s">
        <v>998</v>
      </c>
    </row>
    <row r="980" spans="22:23" hidden="1">
      <c r="V980" s="139" t="s">
        <v>999</v>
      </c>
      <c r="W980" s="139" t="s">
        <v>1000</v>
      </c>
    </row>
    <row r="981" spans="22:23" hidden="1">
      <c r="V981" s="139" t="s">
        <v>1001</v>
      </c>
      <c r="W981" s="139" t="s">
        <v>1002</v>
      </c>
    </row>
    <row r="982" spans="22:23" hidden="1">
      <c r="V982" s="139" t="s">
        <v>1003</v>
      </c>
      <c r="W982" s="139" t="s">
        <v>1004</v>
      </c>
    </row>
    <row r="983" spans="22:23" hidden="1">
      <c r="V983" s="139" t="s">
        <v>1005</v>
      </c>
      <c r="W983" s="139" t="s">
        <v>1006</v>
      </c>
    </row>
    <row r="984" spans="22:23" hidden="1">
      <c r="V984" s="139" t="s">
        <v>1007</v>
      </c>
      <c r="W984" s="139" t="s">
        <v>1008</v>
      </c>
    </row>
    <row r="985" spans="22:23" hidden="1">
      <c r="V985" s="139" t="s">
        <v>1009</v>
      </c>
      <c r="W985" s="139" t="s">
        <v>1010</v>
      </c>
    </row>
    <row r="986" spans="22:23" hidden="1">
      <c r="V986" s="139" t="s">
        <v>1011</v>
      </c>
      <c r="W986" s="139" t="s">
        <v>1012</v>
      </c>
    </row>
    <row r="987" spans="22:23" hidden="1">
      <c r="V987" s="139" t="s">
        <v>1013</v>
      </c>
      <c r="W987" s="139" t="s">
        <v>1014</v>
      </c>
    </row>
    <row r="988" spans="22:23" hidden="1">
      <c r="V988" s="139" t="s">
        <v>1015</v>
      </c>
      <c r="W988" s="139" t="s">
        <v>1016</v>
      </c>
    </row>
    <row r="989" spans="22:23" hidden="1">
      <c r="V989" s="139" t="s">
        <v>1017</v>
      </c>
      <c r="W989" s="139" t="s">
        <v>1018</v>
      </c>
    </row>
    <row r="990" spans="22:23" hidden="1">
      <c r="V990" s="139" t="s">
        <v>1019</v>
      </c>
      <c r="W990" s="139" t="s">
        <v>1020</v>
      </c>
    </row>
    <row r="991" spans="22:23" hidden="1">
      <c r="V991" s="139" t="s">
        <v>1021</v>
      </c>
      <c r="W991" s="139" t="s">
        <v>1022</v>
      </c>
    </row>
    <row r="992" spans="22:23" hidden="1">
      <c r="V992" s="139" t="s">
        <v>1023</v>
      </c>
      <c r="W992" s="139" t="s">
        <v>1024</v>
      </c>
    </row>
    <row r="993" spans="22:23" hidden="1">
      <c r="V993" s="139" t="s">
        <v>1025</v>
      </c>
      <c r="W993" s="139" t="s">
        <v>1026</v>
      </c>
    </row>
    <row r="994" spans="22:23" hidden="1">
      <c r="V994" s="139" t="s">
        <v>1027</v>
      </c>
      <c r="W994" s="139" t="s">
        <v>1028</v>
      </c>
    </row>
    <row r="995" spans="22:23" hidden="1">
      <c r="V995" s="139" t="s">
        <v>1029</v>
      </c>
      <c r="W995" s="139" t="s">
        <v>1030</v>
      </c>
    </row>
    <row r="996" spans="22:23" hidden="1">
      <c r="V996" s="139" t="s">
        <v>1031</v>
      </c>
      <c r="W996" s="139" t="s">
        <v>1032</v>
      </c>
    </row>
    <row r="997" spans="22:23" hidden="1">
      <c r="V997" s="139" t="s">
        <v>1033</v>
      </c>
      <c r="W997" s="139" t="s">
        <v>1034</v>
      </c>
    </row>
    <row r="998" spans="22:23" hidden="1">
      <c r="V998" s="139" t="s">
        <v>1035</v>
      </c>
      <c r="W998" s="139" t="s">
        <v>1036</v>
      </c>
    </row>
    <row r="999" spans="22:23" hidden="1">
      <c r="V999" s="139" t="s">
        <v>1037</v>
      </c>
      <c r="W999" s="139" t="s">
        <v>1038</v>
      </c>
    </row>
    <row r="1000" spans="22:23" hidden="1">
      <c r="V1000" s="139" t="s">
        <v>1039</v>
      </c>
      <c r="W1000" s="139" t="s">
        <v>1040</v>
      </c>
    </row>
    <row r="1001" spans="22:23" hidden="1">
      <c r="V1001" s="139" t="s">
        <v>1041</v>
      </c>
      <c r="W1001" s="139" t="s">
        <v>1042</v>
      </c>
    </row>
    <row r="1002" spans="22:23" hidden="1">
      <c r="V1002" s="139" t="s">
        <v>1043</v>
      </c>
      <c r="W1002" s="139" t="s">
        <v>1044</v>
      </c>
    </row>
    <row r="1003" spans="22:23" hidden="1">
      <c r="V1003" s="139" t="s">
        <v>1757</v>
      </c>
      <c r="W1003" s="139" t="s">
        <v>1758</v>
      </c>
    </row>
    <row r="1004" spans="22:23" hidden="1">
      <c r="V1004" s="139" t="s">
        <v>1759</v>
      </c>
      <c r="W1004" s="139" t="s">
        <v>1760</v>
      </c>
    </row>
    <row r="1005" spans="22:23" hidden="1">
      <c r="V1005" s="139" t="s">
        <v>1761</v>
      </c>
      <c r="W1005" s="139" t="s">
        <v>1762</v>
      </c>
    </row>
    <row r="1006" spans="22:23" hidden="1">
      <c r="V1006" s="139" t="s">
        <v>1763</v>
      </c>
      <c r="W1006" s="139" t="s">
        <v>1764</v>
      </c>
    </row>
    <row r="1007" spans="22:23" hidden="1">
      <c r="V1007" s="139" t="s">
        <v>1765</v>
      </c>
      <c r="W1007" s="139" t="s">
        <v>1766</v>
      </c>
    </row>
    <row r="1008" spans="22:23" hidden="1">
      <c r="V1008" s="139" t="s">
        <v>1767</v>
      </c>
      <c r="W1008" s="139" t="s">
        <v>1768</v>
      </c>
    </row>
    <row r="1009" spans="22:23" hidden="1">
      <c r="V1009" s="139" t="s">
        <v>1769</v>
      </c>
      <c r="W1009" s="139" t="s">
        <v>1770</v>
      </c>
    </row>
    <row r="1010" spans="22:23" hidden="1">
      <c r="V1010" s="139" t="s">
        <v>1771</v>
      </c>
      <c r="W1010" s="139" t="s">
        <v>1772</v>
      </c>
    </row>
    <row r="1011" spans="22:23" hidden="1">
      <c r="V1011" s="139" t="s">
        <v>1773</v>
      </c>
      <c r="W1011" s="139" t="s">
        <v>1774</v>
      </c>
    </row>
    <row r="1012" spans="22:23" hidden="1">
      <c r="V1012" s="139" t="s">
        <v>1775</v>
      </c>
      <c r="W1012" s="139" t="s">
        <v>1776</v>
      </c>
    </row>
    <row r="1013" spans="22:23" hidden="1">
      <c r="V1013" s="139" t="s">
        <v>1777</v>
      </c>
      <c r="W1013" s="139" t="s">
        <v>1778</v>
      </c>
    </row>
    <row r="1014" spans="22:23" hidden="1">
      <c r="V1014" s="139" t="s">
        <v>1779</v>
      </c>
      <c r="W1014" s="139" t="s">
        <v>1780</v>
      </c>
    </row>
    <row r="1015" spans="22:23" hidden="1">
      <c r="V1015" s="139" t="s">
        <v>1781</v>
      </c>
      <c r="W1015" s="139" t="s">
        <v>1782</v>
      </c>
    </row>
    <row r="1016" spans="22:23" hidden="1">
      <c r="V1016" s="139" t="s">
        <v>1783</v>
      </c>
      <c r="W1016" s="139" t="s">
        <v>1784</v>
      </c>
    </row>
    <row r="1017" spans="22:23" hidden="1">
      <c r="V1017" s="139" t="s">
        <v>1785</v>
      </c>
      <c r="W1017" s="139" t="s">
        <v>1786</v>
      </c>
    </row>
    <row r="1018" spans="22:23" hidden="1">
      <c r="V1018" s="139" t="s">
        <v>1787</v>
      </c>
      <c r="W1018" s="139" t="s">
        <v>1788</v>
      </c>
    </row>
    <row r="1019" spans="22:23" hidden="1">
      <c r="V1019" s="139" t="s">
        <v>1789</v>
      </c>
      <c r="W1019" s="139" t="s">
        <v>1790</v>
      </c>
    </row>
    <row r="1020" spans="22:23" hidden="1">
      <c r="V1020" s="139" t="s">
        <v>1791</v>
      </c>
      <c r="W1020" s="139" t="s">
        <v>1792</v>
      </c>
    </row>
    <row r="1021" spans="22:23" hidden="1">
      <c r="V1021" s="139" t="s">
        <v>1793</v>
      </c>
      <c r="W1021" s="139" t="s">
        <v>1794</v>
      </c>
    </row>
    <row r="1022" spans="22:23" hidden="1">
      <c r="V1022" s="139" t="s">
        <v>1795</v>
      </c>
      <c r="W1022" s="139" t="s">
        <v>1796</v>
      </c>
    </row>
    <row r="1023" spans="22:23" hidden="1">
      <c r="V1023" s="139" t="s">
        <v>1797</v>
      </c>
      <c r="W1023" s="139" t="s">
        <v>1798</v>
      </c>
    </row>
    <row r="1024" spans="22:23" hidden="1">
      <c r="V1024" s="139" t="s">
        <v>1799</v>
      </c>
      <c r="W1024" s="139" t="s">
        <v>1800</v>
      </c>
    </row>
    <row r="1025" spans="22:23" hidden="1">
      <c r="V1025" s="139" t="s">
        <v>1801</v>
      </c>
      <c r="W1025" s="139" t="s">
        <v>1802</v>
      </c>
    </row>
    <row r="1026" spans="22:23" hidden="1">
      <c r="V1026" s="139" t="s">
        <v>1803</v>
      </c>
      <c r="W1026" s="139" t="s">
        <v>1804</v>
      </c>
    </row>
    <row r="1027" spans="22:23" hidden="1">
      <c r="V1027" s="139" t="s">
        <v>1805</v>
      </c>
      <c r="W1027" s="139" t="s">
        <v>1806</v>
      </c>
    </row>
    <row r="1028" spans="22:23" hidden="1">
      <c r="V1028" s="139" t="s">
        <v>1807</v>
      </c>
      <c r="W1028" s="139" t="s">
        <v>1808</v>
      </c>
    </row>
    <row r="1029" spans="22:23" hidden="1">
      <c r="V1029" s="139" t="s">
        <v>3365</v>
      </c>
      <c r="W1029" s="139" t="s">
        <v>3366</v>
      </c>
    </row>
    <row r="1030" spans="22:23" hidden="1">
      <c r="V1030" s="139" t="s">
        <v>3367</v>
      </c>
      <c r="W1030" s="139" t="s">
        <v>3368</v>
      </c>
    </row>
    <row r="1031" spans="22:23" hidden="1">
      <c r="V1031" s="139" t="s">
        <v>3369</v>
      </c>
      <c r="W1031" s="139" t="s">
        <v>3370</v>
      </c>
    </row>
    <row r="1032" spans="22:23" hidden="1">
      <c r="V1032" s="139" t="s">
        <v>3371</v>
      </c>
      <c r="W1032" s="139" t="s">
        <v>3372</v>
      </c>
    </row>
    <row r="1033" spans="22:23" hidden="1">
      <c r="V1033" s="139" t="s">
        <v>3373</v>
      </c>
      <c r="W1033" s="139" t="s">
        <v>3374</v>
      </c>
    </row>
    <row r="1034" spans="22:23" hidden="1">
      <c r="V1034" s="139" t="s">
        <v>3375</v>
      </c>
      <c r="W1034" s="139" t="s">
        <v>3376</v>
      </c>
    </row>
    <row r="1035" spans="22:23" hidden="1">
      <c r="V1035" s="139" t="s">
        <v>3377</v>
      </c>
      <c r="W1035" s="139" t="s">
        <v>3378</v>
      </c>
    </row>
    <row r="1036" spans="22:23" hidden="1">
      <c r="V1036" s="139" t="s">
        <v>3379</v>
      </c>
      <c r="W1036" s="139" t="s">
        <v>3380</v>
      </c>
    </row>
    <row r="1037" spans="22:23" hidden="1">
      <c r="V1037" s="139" t="s">
        <v>3381</v>
      </c>
      <c r="W1037" s="139" t="s">
        <v>3382</v>
      </c>
    </row>
    <row r="1038" spans="22:23" hidden="1">
      <c r="V1038" s="139" t="s">
        <v>3383</v>
      </c>
      <c r="W1038" s="139" t="s">
        <v>3384</v>
      </c>
    </row>
    <row r="1039" spans="22:23" hidden="1">
      <c r="V1039" s="139" t="s">
        <v>3385</v>
      </c>
      <c r="W1039" s="139" t="s">
        <v>3386</v>
      </c>
    </row>
    <row r="1040" spans="22:23" hidden="1">
      <c r="V1040" s="139" t="s">
        <v>3387</v>
      </c>
      <c r="W1040" s="139" t="s">
        <v>3388</v>
      </c>
    </row>
    <row r="1041" spans="22:23" hidden="1">
      <c r="V1041" s="139" t="s">
        <v>3389</v>
      </c>
      <c r="W1041" s="139" t="s">
        <v>3390</v>
      </c>
    </row>
    <row r="1042" spans="22:23" hidden="1">
      <c r="V1042" s="139" t="s">
        <v>3391</v>
      </c>
      <c r="W1042" s="139" t="s">
        <v>3392</v>
      </c>
    </row>
    <row r="1043" spans="22:23" hidden="1">
      <c r="V1043" s="139" t="s">
        <v>3393</v>
      </c>
      <c r="W1043" s="139" t="s">
        <v>3394</v>
      </c>
    </row>
    <row r="1044" spans="22:23" hidden="1">
      <c r="V1044" s="139" t="s">
        <v>3395</v>
      </c>
      <c r="W1044" s="139" t="s">
        <v>3396</v>
      </c>
    </row>
    <row r="1045" spans="22:23" hidden="1">
      <c r="V1045" s="139" t="s">
        <v>3397</v>
      </c>
      <c r="W1045" s="139" t="s">
        <v>3398</v>
      </c>
    </row>
    <row r="1046" spans="22:23" hidden="1">
      <c r="V1046" s="139" t="s">
        <v>3399</v>
      </c>
      <c r="W1046" s="139" t="s">
        <v>3400</v>
      </c>
    </row>
    <row r="1047" spans="22:23" hidden="1">
      <c r="V1047" s="139" t="s">
        <v>3401</v>
      </c>
      <c r="W1047" s="139" t="s">
        <v>3402</v>
      </c>
    </row>
    <row r="1048" spans="22:23" hidden="1">
      <c r="V1048" s="139" t="s">
        <v>3403</v>
      </c>
      <c r="W1048" s="139" t="s">
        <v>3404</v>
      </c>
    </row>
    <row r="1049" spans="22:23" hidden="1">
      <c r="V1049" s="139" t="s">
        <v>3405</v>
      </c>
      <c r="W1049" s="139" t="s">
        <v>3406</v>
      </c>
    </row>
    <row r="1050" spans="22:23" hidden="1">
      <c r="V1050" s="139" t="s">
        <v>3407</v>
      </c>
      <c r="W1050" s="139" t="s">
        <v>3408</v>
      </c>
    </row>
    <row r="1051" spans="22:23" hidden="1">
      <c r="V1051" s="139" t="s">
        <v>3409</v>
      </c>
      <c r="W1051" s="139" t="s">
        <v>3408</v>
      </c>
    </row>
    <row r="1052" spans="22:23" hidden="1">
      <c r="V1052" s="139" t="s">
        <v>3410</v>
      </c>
      <c r="W1052" s="139" t="s">
        <v>3411</v>
      </c>
    </row>
    <row r="1053" spans="22:23" hidden="1">
      <c r="V1053" s="139" t="s">
        <v>3412</v>
      </c>
      <c r="W1053" s="139" t="s">
        <v>3413</v>
      </c>
    </row>
    <row r="1054" spans="22:23" hidden="1">
      <c r="V1054" s="139" t="s">
        <v>3414</v>
      </c>
      <c r="W1054" s="139" t="s">
        <v>3415</v>
      </c>
    </row>
    <row r="1055" spans="22:23" hidden="1">
      <c r="V1055" s="139" t="s">
        <v>3416</v>
      </c>
      <c r="W1055" s="139" t="s">
        <v>3417</v>
      </c>
    </row>
    <row r="1056" spans="22:23" hidden="1">
      <c r="V1056" s="139" t="s">
        <v>3418</v>
      </c>
      <c r="W1056" s="139" t="s">
        <v>3419</v>
      </c>
    </row>
    <row r="1057" spans="22:23" hidden="1">
      <c r="V1057" s="139" t="s">
        <v>3420</v>
      </c>
      <c r="W1057" s="139" t="s">
        <v>3421</v>
      </c>
    </row>
    <row r="1058" spans="22:23" hidden="1">
      <c r="V1058" s="139" t="s">
        <v>3422</v>
      </c>
      <c r="W1058" s="139" t="s">
        <v>3423</v>
      </c>
    </row>
    <row r="1059" spans="22:23" hidden="1">
      <c r="V1059" s="139" t="s">
        <v>3424</v>
      </c>
      <c r="W1059" s="139" t="s">
        <v>3425</v>
      </c>
    </row>
    <row r="1060" spans="22:23" hidden="1">
      <c r="V1060" s="139" t="s">
        <v>3426</v>
      </c>
      <c r="W1060" s="139" t="s">
        <v>3427</v>
      </c>
    </row>
    <row r="1061" spans="22:23" hidden="1">
      <c r="V1061" s="139" t="s">
        <v>3428</v>
      </c>
      <c r="W1061" s="139" t="s">
        <v>3429</v>
      </c>
    </row>
    <row r="1062" spans="22:23" hidden="1">
      <c r="V1062" s="139" t="s">
        <v>3430</v>
      </c>
      <c r="W1062" s="139" t="s">
        <v>3431</v>
      </c>
    </row>
    <row r="1063" spans="22:23" hidden="1">
      <c r="V1063" s="139" t="s">
        <v>3432</v>
      </c>
      <c r="W1063" s="139" t="s">
        <v>3433</v>
      </c>
    </row>
    <row r="1064" spans="22:23" hidden="1">
      <c r="V1064" s="139" t="s">
        <v>3434</v>
      </c>
      <c r="W1064" s="139" t="s">
        <v>3435</v>
      </c>
    </row>
    <row r="1065" spans="22:23" hidden="1">
      <c r="V1065" s="139" t="s">
        <v>3436</v>
      </c>
      <c r="W1065" s="139" t="s">
        <v>3435</v>
      </c>
    </row>
    <row r="1066" spans="22:23" hidden="1">
      <c r="V1066" s="139" t="s">
        <v>3437</v>
      </c>
      <c r="W1066" s="139" t="s">
        <v>3438</v>
      </c>
    </row>
    <row r="1067" spans="22:23" hidden="1">
      <c r="V1067" s="139" t="s">
        <v>3439</v>
      </c>
      <c r="W1067" s="139" t="s">
        <v>3440</v>
      </c>
    </row>
    <row r="1068" spans="22:23" hidden="1">
      <c r="V1068" s="139" t="s">
        <v>3441</v>
      </c>
      <c r="W1068" s="139" t="s">
        <v>3442</v>
      </c>
    </row>
    <row r="1069" spans="22:23" hidden="1">
      <c r="V1069" s="139" t="s">
        <v>3443</v>
      </c>
      <c r="W1069" s="139" t="s">
        <v>3444</v>
      </c>
    </row>
    <row r="1070" spans="22:23" hidden="1">
      <c r="V1070" s="139" t="s">
        <v>3445</v>
      </c>
      <c r="W1070" s="139" t="s">
        <v>1788</v>
      </c>
    </row>
    <row r="1071" spans="22:23" hidden="1">
      <c r="V1071" s="139" t="s">
        <v>3446</v>
      </c>
      <c r="W1071" s="139" t="s">
        <v>3447</v>
      </c>
    </row>
    <row r="1072" spans="22:23" hidden="1">
      <c r="V1072" s="139" t="s">
        <v>3448</v>
      </c>
      <c r="W1072" s="139" t="s">
        <v>3449</v>
      </c>
    </row>
    <row r="1073" spans="22:23" hidden="1">
      <c r="V1073" s="139" t="s">
        <v>3450</v>
      </c>
      <c r="W1073" s="139" t="s">
        <v>3451</v>
      </c>
    </row>
    <row r="1074" spans="22:23" hidden="1">
      <c r="V1074" s="139" t="s">
        <v>3452</v>
      </c>
      <c r="W1074" s="139" t="s">
        <v>3453</v>
      </c>
    </row>
    <row r="1075" spans="22:23" hidden="1">
      <c r="V1075" s="139" t="s">
        <v>3454</v>
      </c>
      <c r="W1075" s="139" t="s">
        <v>3455</v>
      </c>
    </row>
    <row r="1076" spans="22:23" hidden="1">
      <c r="V1076" s="139" t="s">
        <v>3456</v>
      </c>
      <c r="W1076" s="139" t="s">
        <v>3433</v>
      </c>
    </row>
    <row r="1077" spans="22:23" hidden="1">
      <c r="V1077" s="139" t="s">
        <v>3457</v>
      </c>
      <c r="W1077" s="139" t="s">
        <v>3453</v>
      </c>
    </row>
    <row r="1078" spans="22:23" hidden="1">
      <c r="V1078" s="139" t="s">
        <v>3458</v>
      </c>
      <c r="W1078" s="139" t="s">
        <v>3459</v>
      </c>
    </row>
    <row r="1079" spans="22:23" hidden="1">
      <c r="V1079" s="139" t="s">
        <v>3460</v>
      </c>
      <c r="W1079" s="139" t="s">
        <v>3461</v>
      </c>
    </row>
    <row r="1080" spans="22:23" hidden="1">
      <c r="V1080" s="139" t="s">
        <v>3462</v>
      </c>
      <c r="W1080" s="139" t="s">
        <v>3463</v>
      </c>
    </row>
    <row r="1081" spans="22:23" hidden="1">
      <c r="V1081" s="139" t="s">
        <v>3464</v>
      </c>
      <c r="W1081" s="139" t="s">
        <v>3465</v>
      </c>
    </row>
    <row r="1082" spans="22:23" hidden="1">
      <c r="V1082" s="139" t="s">
        <v>3466</v>
      </c>
      <c r="W1082" s="139" t="s">
        <v>3467</v>
      </c>
    </row>
    <row r="1083" spans="22:23" hidden="1">
      <c r="V1083" s="139" t="s">
        <v>3468</v>
      </c>
      <c r="W1083" s="139" t="s">
        <v>3469</v>
      </c>
    </row>
    <row r="1084" spans="22:23" hidden="1">
      <c r="V1084" s="139" t="s">
        <v>3470</v>
      </c>
      <c r="W1084" s="139" t="s">
        <v>3471</v>
      </c>
    </row>
    <row r="1085" spans="22:23" hidden="1">
      <c r="V1085" s="139" t="s">
        <v>3472</v>
      </c>
      <c r="W1085" s="139" t="s">
        <v>3473</v>
      </c>
    </row>
    <row r="1086" spans="22:23" hidden="1">
      <c r="V1086" s="139" t="s">
        <v>1045</v>
      </c>
      <c r="W1086" s="139" t="s">
        <v>339</v>
      </c>
    </row>
    <row r="1087" spans="22:23" hidden="1">
      <c r="V1087" s="139" t="s">
        <v>1046</v>
      </c>
      <c r="W1087" s="139" t="s">
        <v>340</v>
      </c>
    </row>
    <row r="1088" spans="22:23" hidden="1">
      <c r="V1088" s="139" t="s">
        <v>1047</v>
      </c>
      <c r="W1088" s="139" t="s">
        <v>1048</v>
      </c>
    </row>
    <row r="1089" spans="22:23" hidden="1">
      <c r="V1089" s="139" t="s">
        <v>1049</v>
      </c>
      <c r="W1089" s="139" t="s">
        <v>986</v>
      </c>
    </row>
    <row r="1090" spans="22:23" hidden="1">
      <c r="V1090" s="139" t="s">
        <v>1809</v>
      </c>
      <c r="W1090" s="139" t="s">
        <v>1810</v>
      </c>
    </row>
    <row r="1091" spans="22:23" hidden="1">
      <c r="V1091" s="139" t="s">
        <v>1811</v>
      </c>
      <c r="W1091" s="139" t="s">
        <v>1309</v>
      </c>
    </row>
    <row r="1092" spans="22:23" hidden="1">
      <c r="V1092" s="139" t="s">
        <v>3474</v>
      </c>
      <c r="W1092" s="139" t="s">
        <v>3359</v>
      </c>
    </row>
    <row r="1093" spans="22:23" hidden="1">
      <c r="V1093" s="139" t="s">
        <v>1321</v>
      </c>
      <c r="W1093" s="139" t="s">
        <v>1322</v>
      </c>
    </row>
    <row r="1094" spans="22:23" hidden="1">
      <c r="V1094" s="139" t="s">
        <v>1323</v>
      </c>
      <c r="W1094" s="139" t="s">
        <v>1324</v>
      </c>
    </row>
    <row r="1095" spans="22:23" hidden="1">
      <c r="V1095" s="139" t="s">
        <v>1325</v>
      </c>
      <c r="W1095" s="139" t="s">
        <v>1326</v>
      </c>
    </row>
    <row r="1096" spans="22:23" hidden="1">
      <c r="V1096" s="139" t="s">
        <v>1327</v>
      </c>
      <c r="W1096" s="139" t="s">
        <v>1328</v>
      </c>
    </row>
    <row r="1097" spans="22:23" hidden="1">
      <c r="V1097" s="139" t="s">
        <v>1329</v>
      </c>
      <c r="W1097" s="139" t="s">
        <v>1330</v>
      </c>
    </row>
    <row r="1098" spans="22:23" hidden="1">
      <c r="V1098" s="139" t="s">
        <v>1331</v>
      </c>
      <c r="W1098" s="139" t="s">
        <v>1332</v>
      </c>
    </row>
    <row r="1099" spans="22:23" hidden="1">
      <c r="V1099" s="139" t="s">
        <v>1333</v>
      </c>
      <c r="W1099" s="139" t="s">
        <v>1334</v>
      </c>
    </row>
    <row r="1100" spans="22:23" hidden="1">
      <c r="V1100" s="139" t="s">
        <v>1335</v>
      </c>
      <c r="W1100" s="139" t="s">
        <v>1336</v>
      </c>
    </row>
    <row r="1101" spans="22:23" hidden="1">
      <c r="V1101" s="139" t="s">
        <v>1337</v>
      </c>
      <c r="W1101" s="139" t="s">
        <v>1338</v>
      </c>
    </row>
    <row r="1102" spans="22:23" hidden="1">
      <c r="V1102" s="139" t="s">
        <v>1339</v>
      </c>
      <c r="W1102" s="139" t="s">
        <v>1340</v>
      </c>
    </row>
    <row r="1103" spans="22:23" hidden="1">
      <c r="V1103" s="139" t="s">
        <v>1341</v>
      </c>
      <c r="W1103" s="139" t="s">
        <v>1342</v>
      </c>
    </row>
    <row r="1104" spans="22:23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</sheetData>
  <autoFilter ref="A2:AA586" xr:uid="{280433D9-6971-4F03-9823-0F7D82D72B8E}"/>
  <sortState ref="V8:W324">
    <sortCondition ref="V8"/>
  </sortState>
  <mergeCells count="1">
    <mergeCell ref="A1:B1"/>
  </mergeCells>
  <dataValidations xWindow="370" yWindow="709" count="4">
    <dataValidation type="list" allowBlank="1" showInputMessage="1" showErrorMessage="1" errorTitle="GREŠKA" error="Za unos odaberite vrijednost iz padajućeg izbornika!" prompt="Molimo odaberite vrijednost iz padajućeg izbornika!" sqref="C3:C586" xr:uid="{00000000-0002-0000-0300-000000000000}">
      <formula1>$P$6:$P$214</formula1>
    </dataValidation>
    <dataValidation type="whole" allowBlank="1" showInputMessage="1" showErrorMessage="1" errorTitle="GREŠKA" error="U ovo polje je dozvoljen unos samo brojčanih vrijednosti (bez decimala!)" sqref="G3:I586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86" xr:uid="{00000000-0002-0000-0300-000002000000}">
      <formula1>$M$7:$M$37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86" xr:uid="{00000000-0002-0000-0300-000003000000}">
      <formula1>$V$7:$V$1103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1"/>
  <sheetViews>
    <sheetView showGridLines="0" topLeftCell="B1" zoomScale="66" zoomScaleNormal="66" workbookViewId="0">
      <pane ySplit="2" topLeftCell="A3" activePane="bottomLeft" state="frozen"/>
      <selection pane="bottomLeft" activeCell="D3" sqref="D3:U3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11" style="1" bestFit="1" customWidth="1"/>
    <col min="25" max="16384" width="11.42578125" style="1"/>
  </cols>
  <sheetData>
    <row r="1" spans="1:29" ht="15.6" customHeight="1">
      <c r="B1" s="274" t="s">
        <v>3488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</row>
    <row r="2" spans="1:29" s="90" customFormat="1">
      <c r="B2" s="89"/>
      <c r="C2" s="89"/>
      <c r="D2" s="89"/>
      <c r="S2" s="91"/>
      <c r="W2" s="91" t="s">
        <v>261</v>
      </c>
    </row>
    <row r="3" spans="1:29" s="90" customFormat="1" ht="15.6" customHeight="1">
      <c r="B3" s="275" t="s">
        <v>262</v>
      </c>
      <c r="C3" s="276"/>
      <c r="D3" s="277" t="s">
        <v>3489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9"/>
      <c r="V3" s="204"/>
      <c r="W3" s="204"/>
    </row>
    <row r="4" spans="1:29" s="90" customFormat="1" ht="89.25">
      <c r="A4" s="92" t="s">
        <v>1906</v>
      </c>
      <c r="B4" s="92" t="s">
        <v>263</v>
      </c>
      <c r="C4" s="92" t="s">
        <v>264</v>
      </c>
      <c r="D4" s="252" t="s">
        <v>265</v>
      </c>
      <c r="E4" s="205" t="s">
        <v>345</v>
      </c>
      <c r="F4" s="205" t="s">
        <v>317</v>
      </c>
      <c r="G4" s="206" t="s">
        <v>19</v>
      </c>
      <c r="H4" s="206" t="s">
        <v>1367</v>
      </c>
      <c r="I4" s="206" t="s">
        <v>20</v>
      </c>
      <c r="J4" s="206" t="s">
        <v>266</v>
      </c>
      <c r="K4" s="206" t="s">
        <v>267</v>
      </c>
      <c r="L4" s="206" t="s">
        <v>1368</v>
      </c>
      <c r="M4" s="206" t="s">
        <v>268</v>
      </c>
      <c r="N4" s="206" t="s">
        <v>269</v>
      </c>
      <c r="O4" s="206" t="s">
        <v>270</v>
      </c>
      <c r="P4" s="206" t="s">
        <v>1369</v>
      </c>
      <c r="Q4" s="206" t="s">
        <v>1370</v>
      </c>
      <c r="R4" s="206" t="s">
        <v>1902</v>
      </c>
      <c r="S4" s="93" t="s">
        <v>3479</v>
      </c>
      <c r="T4" s="206" t="s">
        <v>271</v>
      </c>
      <c r="U4" s="93" t="s">
        <v>272</v>
      </c>
      <c r="V4" s="93" t="s">
        <v>309</v>
      </c>
      <c r="W4" s="93" t="s">
        <v>1343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39" si="0">SUM(E5:W5)</f>
        <v>30500000</v>
      </c>
      <c r="E5" s="3">
        <v>0</v>
      </c>
      <c r="F5" s="3"/>
      <c r="G5" s="3">
        <v>12500000</v>
      </c>
      <c r="H5" s="3"/>
      <c r="I5" s="3">
        <v>9000000</v>
      </c>
      <c r="J5" s="3"/>
      <c r="K5" s="3">
        <v>9000000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341</v>
      </c>
      <c r="D6" s="70">
        <f t="shared" si="0"/>
        <v>168690192.61557513</v>
      </c>
      <c r="E6" s="14">
        <f>+E26+E33</f>
        <v>135144532.61557513</v>
      </c>
      <c r="F6" s="14">
        <f t="shared" ref="F6:V6" si="1">+F26+F33</f>
        <v>48665</v>
      </c>
      <c r="G6" s="14">
        <f t="shared" si="1"/>
        <v>8600000</v>
      </c>
      <c r="H6" s="14">
        <f>+H26+H33</f>
        <v>0</v>
      </c>
      <c r="I6" s="14">
        <f t="shared" ref="I6" si="2">+I26+I33</f>
        <v>15000000</v>
      </c>
      <c r="J6" s="14">
        <f t="shared" si="1"/>
        <v>1673253</v>
      </c>
      <c r="K6" s="14">
        <f t="shared" si="1"/>
        <v>7586902</v>
      </c>
      <c r="L6" s="14">
        <f>+L26+L33</f>
        <v>0</v>
      </c>
      <c r="M6" s="14">
        <f t="shared" si="1"/>
        <v>0</v>
      </c>
      <c r="N6" s="14">
        <f t="shared" si="1"/>
        <v>275770</v>
      </c>
      <c r="O6" s="14">
        <f t="shared" si="1"/>
        <v>196000</v>
      </c>
      <c r="P6" s="14">
        <f>+P26+P33</f>
        <v>0</v>
      </c>
      <c r="Q6" s="14">
        <f>+Q26+Q33</f>
        <v>0</v>
      </c>
      <c r="R6" s="14">
        <f>+R26+R33</f>
        <v>0</v>
      </c>
      <c r="S6" s="14">
        <f>+S26+S33</f>
        <v>0</v>
      </c>
      <c r="T6" s="14">
        <f t="shared" si="1"/>
        <v>125070</v>
      </c>
      <c r="U6" s="14">
        <f t="shared" si="1"/>
        <v>0</v>
      </c>
      <c r="V6" s="14">
        <f t="shared" si="1"/>
        <v>40000</v>
      </c>
      <c r="W6" s="14">
        <f>+W26+W33</f>
        <v>0</v>
      </c>
    </row>
    <row r="7" spans="1:29" s="90" customFormat="1" ht="21.75" customHeight="1">
      <c r="A7" s="90">
        <v>2021</v>
      </c>
      <c r="B7" s="203"/>
      <c r="C7" s="96" t="s">
        <v>344</v>
      </c>
      <c r="D7" s="70">
        <f t="shared" si="0"/>
        <v>-26272822</v>
      </c>
      <c r="E7" s="256">
        <v>0</v>
      </c>
      <c r="F7" s="256"/>
      <c r="G7" s="256">
        <v>-8390609</v>
      </c>
      <c r="H7" s="256"/>
      <c r="I7" s="256">
        <v>-10962651</v>
      </c>
      <c r="J7" s="256"/>
      <c r="K7" s="256">
        <f>+-4025773-2893789</f>
        <v>-6919562</v>
      </c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273</v>
      </c>
      <c r="D8" s="70">
        <f t="shared" si="0"/>
        <v>172917370.61557513</v>
      </c>
      <c r="E8" s="14">
        <f>+E5+E6+E7</f>
        <v>135144532.61557513</v>
      </c>
      <c r="F8" s="14">
        <f t="shared" ref="F8:V8" si="3">+F5+F6+F7</f>
        <v>48665</v>
      </c>
      <c r="G8" s="14">
        <f t="shared" si="3"/>
        <v>12709391</v>
      </c>
      <c r="H8" s="14">
        <f>+H5+H6+H7</f>
        <v>0</v>
      </c>
      <c r="I8" s="14">
        <f t="shared" ref="I8" si="4">+I5+I6+I7</f>
        <v>13037349</v>
      </c>
      <c r="J8" s="14">
        <f t="shared" si="3"/>
        <v>1673253</v>
      </c>
      <c r="K8" s="14">
        <f t="shared" si="3"/>
        <v>9667340</v>
      </c>
      <c r="L8" s="14">
        <f>+L5+L6+L7</f>
        <v>0</v>
      </c>
      <c r="M8" s="14">
        <f t="shared" si="3"/>
        <v>0</v>
      </c>
      <c r="N8" s="14">
        <f t="shared" si="3"/>
        <v>275770</v>
      </c>
      <c r="O8" s="14">
        <f t="shared" si="3"/>
        <v>196000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125070</v>
      </c>
      <c r="U8" s="14">
        <f t="shared" si="3"/>
        <v>0</v>
      </c>
      <c r="V8" s="14">
        <f t="shared" si="3"/>
        <v>40000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172917370.92389888</v>
      </c>
      <c r="E9" s="134">
        <f>+'PLAN RASHODA I IZDATAKA'!E3</f>
        <v>135144532.61557513</v>
      </c>
      <c r="F9" s="134">
        <f>+'PLAN RASHODA I IZDATAKA'!F3</f>
        <v>48665</v>
      </c>
      <c r="G9" s="134">
        <f>+'PLAN RASHODA I IZDATAKA'!G3</f>
        <v>12709391</v>
      </c>
      <c r="H9" s="134">
        <f>+'PLAN RASHODA I IZDATAKA'!H3</f>
        <v>0</v>
      </c>
      <c r="I9" s="134">
        <f>+'PLAN RASHODA I IZDATAKA'!I3</f>
        <v>13037349</v>
      </c>
      <c r="J9" s="134">
        <f>+'PLAN RASHODA I IZDATAKA'!J3</f>
        <v>1673253.0324267435</v>
      </c>
      <c r="K9" s="134">
        <f>+'PLAN RASHODA I IZDATAKA'!K3</f>
        <v>9667340.2758970018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275770</v>
      </c>
      <c r="O9" s="134">
        <f>+'PLAN RASHODA I IZDATAKA'!O3</f>
        <v>196000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125070</v>
      </c>
      <c r="U9" s="134">
        <f>+'PLAN RASHODA I IZDATAKA'!U3</f>
        <v>0</v>
      </c>
      <c r="V9" s="134">
        <f>+'PLAN RASHODA I IZDATAKA'!V3</f>
        <v>40000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343</v>
      </c>
      <c r="D10" s="70">
        <f t="shared" si="0"/>
        <v>-0.30832374538294971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-3.2426743535324931E-2</v>
      </c>
      <c r="K10" s="118">
        <f t="shared" si="5"/>
        <v>-0.27589700184762478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274</v>
      </c>
      <c r="C11" s="110" t="s">
        <v>275</v>
      </c>
      <c r="D11" s="70">
        <f t="shared" si="0"/>
        <v>61403</v>
      </c>
      <c r="E11" s="186">
        <f>SUMIFS('Plan prihoda za unos u SAP'!$G$3:$G$500,'Plan prihoda za unos u SAP'!$C$3:$C$500,"=11",'Plan prihoda za unos u SAP'!$K$3:$K$500,"=631")</f>
        <v>0</v>
      </c>
      <c r="F11" s="186">
        <f>SUMIFS('Plan prihoda za unos u SAP'!$G$3:$G$500,'Plan prihoda za unos u SAP'!$C$3:$C$500,"=12",'Plan prihoda za unos u SAP'!$K$3:$K$500,"=631")</f>
        <v>0</v>
      </c>
      <c r="G11" s="186">
        <f>SUMIFS('Plan prihoda za unos u SAP'!$G$3:$G$500,'Plan prihoda za unos u SAP'!$C$3:$C$500,"=31",'Plan prihoda za unos u SAP'!$K$3:$K$500,"=631")</f>
        <v>0</v>
      </c>
      <c r="H11" s="186">
        <f>SUMIFS('Plan prihoda za unos u SAP'!$G$3:$G$500,'Plan prihoda za unos u SAP'!$C$3:$C$500,"=41",'Plan prihoda za unos u SAP'!$K$3:$K$500,"=631")</f>
        <v>0</v>
      </c>
      <c r="I11" s="186">
        <f>SUMIFS('Plan prihoda za unos u SAP'!$G$3:$G$500,'Plan prihoda za unos u SAP'!$C$3:$C$500,"=43",'Plan prihoda za unos u SAP'!$K$3:$K$500,"=631")</f>
        <v>0</v>
      </c>
      <c r="J11" s="186">
        <f>SUMIFS('Plan prihoda za unos u SAP'!$G$3:$G$500,'Plan prihoda za unos u SAP'!$C$3:$C$500,"=51",'Plan prihoda za unos u SAP'!$K$3:$K$500,"=631")</f>
        <v>0</v>
      </c>
      <c r="K11" s="186">
        <f>SUMIFS('Plan prihoda za unos u SAP'!$G$3:$G$500,'Plan prihoda za unos u SAP'!$C$3:$C$500,"=52",'Plan prihoda za unos u SAP'!$K$3:$K$500,"=631")</f>
        <v>61403</v>
      </c>
      <c r="L11" s="186">
        <f>SUMIFS('Plan prihoda za unos u SAP'!$G$3:$G$500,'Plan prihoda za unos u SAP'!$C$3:$C$500,"=552",'Plan prihoda za unos u SAP'!$K$3:$K$500,"=631")</f>
        <v>0</v>
      </c>
      <c r="M11" s="186">
        <f>SUMIFS('Plan prihoda za unos u SAP'!$G$3:$G$500,'Plan prihoda za unos u SAP'!$C$3:$C$500,"=559",'Plan prihoda za unos u SAP'!$K$3:$K$500,"=631")</f>
        <v>0</v>
      </c>
      <c r="N11" s="186">
        <f>SUMIFS('Plan prihoda za unos u SAP'!$G$3:$G$500,'Plan prihoda za unos u SAP'!$C$3:$C$500,"=561",'Plan prihoda za unos u SAP'!$K$3:$K$500,"=631")</f>
        <v>0</v>
      </c>
      <c r="O11" s="186">
        <f>SUMIFS('Plan prihoda za unos u SAP'!$G$3:$G$500,'Plan prihoda za unos u SAP'!$C$3:$C$500,"=563",'Plan prihoda za unos u SAP'!$K$3:$K$500,"=631")</f>
        <v>0</v>
      </c>
      <c r="P11" s="186">
        <f>SUMIFS('Plan prihoda za unos u SAP'!$G$3:$G$500,'Plan prihoda za unos u SAP'!$C$3:$C$500,"=573",'Plan prihoda za unos u SAP'!$K$3:$K$500,"=631")</f>
        <v>0</v>
      </c>
      <c r="Q11" s="186">
        <f>SUMIFS('Plan prihoda za unos u SAP'!$G$3:$G$500,'Plan prihoda za unos u SAP'!$C$3:$C$500,"=575",'Plan prihoda za unos u SAP'!$K$3:$K$500,"=631")</f>
        <v>0</v>
      </c>
      <c r="R11" s="186">
        <f>SUMIFS('Plan prihoda za unos u SAP'!$G$3:$G$500,'Plan prihoda za unos u SAP'!$C$3:$C$500,"=576",'Plan prihoda za unos u SAP'!$K$3:$K$500,"=631")</f>
        <v>0</v>
      </c>
      <c r="S11" s="186">
        <f>SUMIFS('Plan prihoda za unos u SAP'!$G$3:$G$500,'Plan prihoda za unos u SAP'!$C$3:$C$500,"=581",'Plan prihoda za unos u SAP'!$K$3:$K$500,"=631")</f>
        <v>0</v>
      </c>
      <c r="T11" s="186">
        <f>SUMIFS('Plan prihoda za unos u SAP'!$G$3:$G$500,'Plan prihoda za unos u SAP'!$C$3:$C$500,"=61",'Plan prihoda za unos u SAP'!$K$3:$K$500,"=631")</f>
        <v>0</v>
      </c>
      <c r="U11" s="186">
        <f>SUMIFS('Plan prihoda za unos u SAP'!$G$3:$G$500,'Plan prihoda za unos u SAP'!$C$3:$C$500,"=63",'Plan prihoda za unos u SAP'!$K$3:$K$500,"=631")</f>
        <v>0</v>
      </c>
      <c r="V11" s="186">
        <f>SUMIFS('Plan prihoda za unos u SAP'!$G$3:$G$500,'Plan prihoda za unos u SAP'!$C$3:$C$500,"=71",'Plan prihoda za unos u SAP'!$K$3:$K$500,"=631")</f>
        <v>0</v>
      </c>
      <c r="W11" s="186">
        <f>SUMIFS('Plan prihoda za unos u SAP'!$G$3:$G$500,'Plan prihoda za unos u SAP'!$C$3:$C$500,"=81",'Plan prihoda za unos u SAP'!$K$3:$K$500,"=631")</f>
        <v>0</v>
      </c>
    </row>
    <row r="12" spans="1:29" s="90" customFormat="1">
      <c r="A12" s="90">
        <v>2021</v>
      </c>
      <c r="B12" s="95" t="s">
        <v>276</v>
      </c>
      <c r="C12" s="96" t="s">
        <v>277</v>
      </c>
      <c r="D12" s="70">
        <f t="shared" si="0"/>
        <v>2145023</v>
      </c>
      <c r="E12" s="186">
        <f>SUMIFS('Plan prihoda za unos u SAP'!$G$3:$G$500,'Plan prihoda za unos u SAP'!$C$3:$C$500,"=11",'Plan prihoda za unos u SAP'!$K$3:$K$500,"=632")</f>
        <v>0</v>
      </c>
      <c r="F12" s="186">
        <f>SUMIFS('Plan prihoda za unos u SAP'!$G$3:$G$500,'Plan prihoda za unos u SAP'!$C$3:$C$500,"=12",'Plan prihoda za unos u SAP'!$K$3:$K$500,"=632")</f>
        <v>0</v>
      </c>
      <c r="G12" s="186">
        <f>SUMIFS('Plan prihoda za unos u SAP'!$G$3:$G$500,'Plan prihoda za unos u SAP'!$C$3:$C$500,"=31",'Plan prihoda za unos u SAP'!$K$3:$K$500,"=632")</f>
        <v>0</v>
      </c>
      <c r="H12" s="186">
        <f>SUMIFS('Plan prihoda za unos u SAP'!$G$3:$G$500,'Plan prihoda za unos u SAP'!$C$3:$C$500,"=41",'Plan prihoda za unos u SAP'!$K$3:$K$500,"=632")</f>
        <v>0</v>
      </c>
      <c r="I12" s="186">
        <f>SUMIFS('Plan prihoda za unos u SAP'!$G$3:$G$500,'Plan prihoda za unos u SAP'!$C$3:$C$500,"=43",'Plan prihoda za unos u SAP'!$K$3:$K$500,"=632")</f>
        <v>0</v>
      </c>
      <c r="J12" s="186">
        <f>SUMIFS('Plan prihoda za unos u SAP'!$G$3:$G$500,'Plan prihoda za unos u SAP'!$C$3:$C$500,"=51",'Plan prihoda za unos u SAP'!$K$3:$K$500,"=632")</f>
        <v>1673253</v>
      </c>
      <c r="K12" s="186">
        <f>SUMIFS('Plan prihoda za unos u SAP'!$G$3:$G$500,'Plan prihoda za unos u SAP'!$C$3:$C$500,"=52",'Plan prihoda za unos u SAP'!$K$3:$K$500,"=632")</f>
        <v>0</v>
      </c>
      <c r="L12" s="186">
        <f>SUMIFS('Plan prihoda za unos u SAP'!$G$3:$G$500,'Plan prihoda za unos u SAP'!$C$3:$C$500,"=552",'Plan prihoda za unos u SAP'!$K$3:$K$500,"=632")</f>
        <v>0</v>
      </c>
      <c r="M12" s="186">
        <f>SUMIFS('Plan prihoda za unos u SAP'!$G$3:$G$500,'Plan prihoda za unos u SAP'!$C$3:$C$500,"=559",'Plan prihoda za unos u SAP'!$K$3:$K$500,"=632")</f>
        <v>0</v>
      </c>
      <c r="N12" s="186">
        <f>SUMIFS('Plan prihoda za unos u SAP'!$G$3:$G$500,'Plan prihoda za unos u SAP'!$C$3:$C$500,"=561",'Plan prihoda za unos u SAP'!$K$3:$K$500,"=632")</f>
        <v>275770</v>
      </c>
      <c r="O12" s="186">
        <f>SUMIFS('Plan prihoda za unos u SAP'!$G$3:$G$500,'Plan prihoda za unos u SAP'!$C$3:$C$500,"=563",'Plan prihoda za unos u SAP'!$K$3:$K$500,"=632")</f>
        <v>196000</v>
      </c>
      <c r="P12" s="186">
        <f>SUMIFS('Plan prihoda za unos u SAP'!$G$3:$G$500,'Plan prihoda za unos u SAP'!$C$3:$C$500,"=573",'Plan prihoda za unos u SAP'!$K$3:$K$500,"=632")</f>
        <v>0</v>
      </c>
      <c r="Q12" s="186">
        <f>SUMIFS('Plan prihoda za unos u SAP'!$G$3:$G$500,'Plan prihoda za unos u SAP'!$C$3:$C$500,"=575",'Plan prihoda za unos u SAP'!$K$3:$K$500,"=632")</f>
        <v>0</v>
      </c>
      <c r="R12" s="186">
        <f>SUMIFS('Plan prihoda za unos u SAP'!$G$3:$G$500,'Plan prihoda za unos u SAP'!$C$3:$C$500,"=576",'Plan prihoda za unos u SAP'!$K$3:$K$500,"=632")</f>
        <v>0</v>
      </c>
      <c r="S12" s="186">
        <f>SUMIFS('Plan prihoda za unos u SAP'!$G$3:$G$500,'Plan prihoda za unos u SAP'!$C$3:$C$500,"=581",'Plan prihoda za unos u SAP'!$K$3:$K$500,"=632")</f>
        <v>0</v>
      </c>
      <c r="T12" s="186">
        <f>SUMIFS('Plan prihoda za unos u SAP'!$G$3:$G$500,'Plan prihoda za unos u SAP'!$C$3:$C$500,"=61",'Plan prihoda za unos u SAP'!$K$3:$K$500,"=632")</f>
        <v>0</v>
      </c>
      <c r="U12" s="186">
        <f>SUMIFS('Plan prihoda za unos u SAP'!$G$3:$G$500,'Plan prihoda za unos u SAP'!$C$3:$C$500,"=63",'Plan prihoda za unos u SAP'!$K$3:$K$500,"=632")</f>
        <v>0</v>
      </c>
      <c r="V12" s="186">
        <f>SUMIFS('Plan prihoda za unos u SAP'!$G$3:$G$500,'Plan prihoda za unos u SAP'!$C$3:$C$500,"=71",'Plan prihoda za unos u SAP'!$K$3:$K$500,"=632")</f>
        <v>0</v>
      </c>
      <c r="W12" s="186">
        <f>SUMIFS('Plan prihoda za unos u SAP'!$G$3:$G$500,'Plan prihoda za unos u SAP'!$C$3:$C$500,"=81",'Plan prihoda za unos u SAP'!$K$3:$K$500,"=632")</f>
        <v>0</v>
      </c>
    </row>
    <row r="13" spans="1:29" s="90" customFormat="1">
      <c r="A13" s="90">
        <v>2021</v>
      </c>
      <c r="B13" s="95" t="s">
        <v>278</v>
      </c>
      <c r="C13" s="96" t="s">
        <v>279</v>
      </c>
      <c r="D13" s="70">
        <f t="shared" si="0"/>
        <v>0</v>
      </c>
      <c r="E13" s="186">
        <f>SUMIFS('Plan prihoda za unos u SAP'!$G$3:$G$500,'Plan prihoda za unos u SAP'!$C$3:$C$500,"=11",'Plan prihoda za unos u SAP'!$K$3:$K$500,"=634")</f>
        <v>0</v>
      </c>
      <c r="F13" s="186">
        <f>SUMIFS('Plan prihoda za unos u SAP'!$G$3:$G$500,'Plan prihoda za unos u SAP'!$C$3:$C$500,"=12",'Plan prihoda za unos u SAP'!$K$3:$K$500,"=634")</f>
        <v>0</v>
      </c>
      <c r="G13" s="186">
        <f>SUMIFS('Plan prihoda za unos u SAP'!$G$3:$G$500,'Plan prihoda za unos u SAP'!$C$3:$C$500,"=31",'Plan prihoda za unos u SAP'!$K$3:$K$500,"=634")</f>
        <v>0</v>
      </c>
      <c r="H13" s="186">
        <f>SUMIFS('Plan prihoda za unos u SAP'!$G$3:$G$500,'Plan prihoda za unos u SAP'!$C$3:$C$500,"=41",'Plan prihoda za unos u SAP'!$K$3:$K$500,"=634")</f>
        <v>0</v>
      </c>
      <c r="I13" s="186">
        <f>SUMIFS('Plan prihoda za unos u SAP'!$G$3:$G$500,'Plan prihoda za unos u SAP'!$C$3:$C$500,"=43",'Plan prihoda za unos u SAP'!$K$3:$K$500,"=634")</f>
        <v>0</v>
      </c>
      <c r="J13" s="186">
        <f>SUMIFS('Plan prihoda za unos u SAP'!$G$3:$G$500,'Plan prihoda za unos u SAP'!$C$3:$C$500,"=51",'Plan prihoda za unos u SAP'!$K$3:$K$500,"=634")</f>
        <v>0</v>
      </c>
      <c r="K13" s="186">
        <f>SUMIFS('Plan prihoda za unos u SAP'!$G$3:$G$500,'Plan prihoda za unos u SAP'!$C$3:$C$500,"=52",'Plan prihoda za unos u SAP'!$K$3:$K$500,"=634")</f>
        <v>0</v>
      </c>
      <c r="L13" s="186">
        <f>SUMIFS('Plan prihoda za unos u SAP'!$G$3:$G$500,'Plan prihoda za unos u SAP'!$C$3:$C$500,"=552",'Plan prihoda za unos u SAP'!$K$3:$K$500,"=634")</f>
        <v>0</v>
      </c>
      <c r="M13" s="186">
        <f>SUMIFS('Plan prihoda za unos u SAP'!$G$3:$G$500,'Plan prihoda za unos u SAP'!$C$3:$C$500,"=559",'Plan prihoda za unos u SAP'!$K$3:$K$500,"=634")</f>
        <v>0</v>
      </c>
      <c r="N13" s="186">
        <f>SUMIFS('Plan prihoda za unos u SAP'!$G$3:$G$500,'Plan prihoda za unos u SAP'!$C$3:$C$500,"=561",'Plan prihoda za unos u SAP'!$K$3:$K$500,"=634")</f>
        <v>0</v>
      </c>
      <c r="O13" s="186">
        <f>SUMIFS('Plan prihoda za unos u SAP'!$G$3:$G$500,'Plan prihoda za unos u SAP'!$C$3:$C$500,"=563",'Plan prihoda za unos u SAP'!$K$3:$K$500,"=634")</f>
        <v>0</v>
      </c>
      <c r="P13" s="186">
        <f>SUMIFS('Plan prihoda za unos u SAP'!$G$3:$G$500,'Plan prihoda za unos u SAP'!$C$3:$C$500,"=573",'Plan prihoda za unos u SAP'!$K$3:$K$500,"=634")</f>
        <v>0</v>
      </c>
      <c r="Q13" s="186">
        <f>SUMIFS('Plan prihoda za unos u SAP'!$G$3:$G$500,'Plan prihoda za unos u SAP'!$C$3:$C$500,"=575",'Plan prihoda za unos u SAP'!$K$3:$K$500,"=634")</f>
        <v>0</v>
      </c>
      <c r="R13" s="186">
        <f>SUMIFS('Plan prihoda za unos u SAP'!$G$3:$G$500,'Plan prihoda za unos u SAP'!$C$3:$C$500,"=576",'Plan prihoda za unos u SAP'!$K$3:$K$500,"=634")</f>
        <v>0</v>
      </c>
      <c r="S13" s="186">
        <f>SUMIFS('Plan prihoda za unos u SAP'!$G$3:$G$500,'Plan prihoda za unos u SAP'!$C$3:$C$500,"=581",'Plan prihoda za unos u SAP'!$K$3:$K$500,"=634")</f>
        <v>0</v>
      </c>
      <c r="T13" s="186">
        <f>SUMIFS('Plan prihoda za unos u SAP'!$G$3:$G$500,'Plan prihoda za unos u SAP'!$C$3:$C$500,"=61",'Plan prihoda za unos u SAP'!$K$3:$K$500,"=634")</f>
        <v>0</v>
      </c>
      <c r="U13" s="186">
        <f>SUMIFS('Plan prihoda za unos u SAP'!$G$3:$G$500,'Plan prihoda za unos u SAP'!$C$3:$C$500,"=63",'Plan prihoda za unos u SAP'!$K$3:$K$500,"=634")</f>
        <v>0</v>
      </c>
      <c r="V13" s="186">
        <f>SUMIFS('Plan prihoda za unos u SAP'!$G$3:$G$500,'Plan prihoda za unos u SAP'!$C$3:$C$500,"=71",'Plan prihoda za unos u SAP'!$K$3:$K$500,"=634")</f>
        <v>0</v>
      </c>
      <c r="W13" s="186">
        <f>SUMIFS('Plan prihoda za unos u SAP'!$G$3:$G$500,'Plan prihoda za unos u SAP'!$C$3:$C$500,"=81",'Plan prihoda za unos u SAP'!$K$3:$K$500,"=634")</f>
        <v>0</v>
      </c>
    </row>
    <row r="14" spans="1:29" s="90" customFormat="1">
      <c r="A14" s="90">
        <v>2021</v>
      </c>
      <c r="B14" s="203" t="s">
        <v>735</v>
      </c>
      <c r="C14" s="96" t="s">
        <v>736</v>
      </c>
      <c r="D14" s="70">
        <f t="shared" si="0"/>
        <v>676071</v>
      </c>
      <c r="E14" s="186">
        <f>SUMIFS('Plan prihoda za unos u SAP'!$G$3:$G$500,'Plan prihoda za unos u SAP'!$C$3:$C$500,"=11",'Plan prihoda za unos u SAP'!$K$3:$K$500,"=636")</f>
        <v>0</v>
      </c>
      <c r="F14" s="186">
        <f>SUMIFS('Plan prihoda za unos u SAP'!$G$3:$G$500,'Plan prihoda za unos u SAP'!$C$3:$C$500,"=12",'Plan prihoda za unos u SAP'!$K$3:$K$500,"=636")</f>
        <v>0</v>
      </c>
      <c r="G14" s="186">
        <f>SUMIFS('Plan prihoda za unos u SAP'!$G$3:$G$500,'Plan prihoda za unos u SAP'!$C$3:$C$500,"=31",'Plan prihoda za unos u SAP'!$K$3:$K$500,"=636")</f>
        <v>0</v>
      </c>
      <c r="H14" s="186">
        <f>SUMIFS('Plan prihoda za unos u SAP'!$G$3:$G$500,'Plan prihoda za unos u SAP'!$C$3:$C$500,"=41",'Plan prihoda za unos u SAP'!$K$3:$K$500,"=636")</f>
        <v>0</v>
      </c>
      <c r="I14" s="186">
        <f>SUMIFS('Plan prihoda za unos u SAP'!$G$3:$G$500,'Plan prihoda za unos u SAP'!$C$3:$C$500,"=43",'Plan prihoda za unos u SAP'!$K$3:$K$500,"=636")</f>
        <v>0</v>
      </c>
      <c r="J14" s="186">
        <f>SUMIFS('Plan prihoda za unos u SAP'!$G$3:$G$500,'Plan prihoda za unos u SAP'!$C$3:$C$500,"=51",'Plan prihoda za unos u SAP'!$K$3:$K$500,"=636")</f>
        <v>0</v>
      </c>
      <c r="K14" s="186">
        <f>SUMIFS('Plan prihoda za unos u SAP'!$G$3:$G$500,'Plan prihoda za unos u SAP'!$C$3:$C$500,"=52",'Plan prihoda za unos u SAP'!$K$3:$K$500,"=636")</f>
        <v>676071</v>
      </c>
      <c r="L14" s="186">
        <f>SUMIFS('Plan prihoda za unos u SAP'!$G$3:$G$500,'Plan prihoda za unos u SAP'!$C$3:$C$500,"=552",'Plan prihoda za unos u SAP'!$K$3:$K$500,"=636")</f>
        <v>0</v>
      </c>
      <c r="M14" s="186">
        <f>SUMIFS('Plan prihoda za unos u SAP'!$G$3:$G$500,'Plan prihoda za unos u SAP'!$C$3:$C$500,"=559",'Plan prihoda za unos u SAP'!$K$3:$K$500,"=636")</f>
        <v>0</v>
      </c>
      <c r="N14" s="186">
        <f>SUMIFS('Plan prihoda za unos u SAP'!$G$3:$G$500,'Plan prihoda za unos u SAP'!$C$3:$C$500,"=561",'Plan prihoda za unos u SAP'!$K$3:$K$500,"=636")</f>
        <v>0</v>
      </c>
      <c r="O14" s="186">
        <f>SUMIFS('Plan prihoda za unos u SAP'!$G$3:$G$500,'Plan prihoda za unos u SAP'!$C$3:$C$500,"=563",'Plan prihoda za unos u SAP'!$K$3:$K$500,"=636")</f>
        <v>0</v>
      </c>
      <c r="P14" s="186">
        <f>SUMIFS('Plan prihoda za unos u SAP'!$G$3:$G$500,'Plan prihoda za unos u SAP'!$C$3:$C$500,"=573",'Plan prihoda za unos u SAP'!$K$3:$K$500,"=636")</f>
        <v>0</v>
      </c>
      <c r="Q14" s="186">
        <f>SUMIFS('Plan prihoda za unos u SAP'!$G$3:$G$500,'Plan prihoda za unos u SAP'!$C$3:$C$500,"=575",'Plan prihoda za unos u SAP'!$K$3:$K$500,"=636")</f>
        <v>0</v>
      </c>
      <c r="R14" s="186">
        <f>SUMIFS('Plan prihoda za unos u SAP'!$G$3:$G$500,'Plan prihoda za unos u SAP'!$C$3:$C$500,"=576",'Plan prihoda za unos u SAP'!$K$3:$K$500,"=636")</f>
        <v>0</v>
      </c>
      <c r="S14" s="186">
        <f>SUMIFS('Plan prihoda za unos u SAP'!$G$3:$G$500,'Plan prihoda za unos u SAP'!$C$3:$C$500,"=581",'Plan prihoda za unos u SAP'!$K$3:$K$500,"=636")</f>
        <v>0</v>
      </c>
      <c r="T14" s="186">
        <f>SUMIFS('Plan prihoda za unos u SAP'!$G$3:$G$500,'Plan prihoda za unos u SAP'!$C$3:$C$500,"=61",'Plan prihoda za unos u SAP'!$K$3:$K$500,"=636")</f>
        <v>0</v>
      </c>
      <c r="U14" s="186">
        <f>SUMIFS('Plan prihoda za unos u SAP'!$G$3:$G$500,'Plan prihoda za unos u SAP'!$C$3:$C$500,"=63",'Plan prihoda za unos u SAP'!$K$3:$K$500,"=636")</f>
        <v>0</v>
      </c>
      <c r="V14" s="186">
        <f>SUMIFS('Plan prihoda za unos u SAP'!$G$3:$G$500,'Plan prihoda za unos u SAP'!$C$3:$C$500,"=71",'Plan prihoda za unos u SAP'!$K$3:$K$500,"=636")</f>
        <v>0</v>
      </c>
      <c r="W14" s="186">
        <f>SUMIFS('Plan prihoda za unos u SAP'!$G$3:$G$500,'Plan prihoda za unos u SAP'!$C$3:$C$500,"=81",'Plan prihoda za unos u SAP'!$K$3:$K$500,"=636")</f>
        <v>0</v>
      </c>
    </row>
    <row r="15" spans="1:29" s="90" customFormat="1">
      <c r="A15" s="90">
        <v>2021</v>
      </c>
      <c r="B15" s="95" t="s">
        <v>280</v>
      </c>
      <c r="C15" s="96" t="s">
        <v>281</v>
      </c>
      <c r="D15" s="70">
        <f t="shared" si="0"/>
        <v>3220287</v>
      </c>
      <c r="E15" s="186">
        <f>SUMIFS('Plan prihoda za unos u SAP'!$G$3:$G$500,'Plan prihoda za unos u SAP'!$C$3:$C$500,"=11",'Plan prihoda za unos u SAP'!$K$3:$K$500,"=638")</f>
        <v>0</v>
      </c>
      <c r="F15" s="186">
        <f>SUMIFS('Plan prihoda za unos u SAP'!$G$3:$G$500,'Plan prihoda za unos u SAP'!$C$3:$C$500,"=12",'Plan prihoda za unos u SAP'!$K$3:$K$500,"=638")</f>
        <v>0</v>
      </c>
      <c r="G15" s="186">
        <f>SUMIFS('Plan prihoda za unos u SAP'!$G$3:$G$500,'Plan prihoda za unos u SAP'!$C$3:$C$500,"=31",'Plan prihoda za unos u SAP'!$K$3:$K$500,"=638")</f>
        <v>0</v>
      </c>
      <c r="H15" s="186">
        <f>SUMIFS('Plan prihoda za unos u SAP'!$G$3:$G$500,'Plan prihoda za unos u SAP'!$C$3:$C$500,"=41",'Plan prihoda za unos u SAP'!$K$3:$K$500,"=638")</f>
        <v>0</v>
      </c>
      <c r="I15" s="186">
        <f>SUMIFS('Plan prihoda za unos u SAP'!$G$3:$G$500,'Plan prihoda za unos u SAP'!$C$3:$C$500,"=43",'Plan prihoda za unos u SAP'!$K$3:$K$500,"=638")</f>
        <v>0</v>
      </c>
      <c r="J15" s="186">
        <f>SUMIFS('Plan prihoda za unos u SAP'!$G$3:$G$500,'Plan prihoda za unos u SAP'!$C$3:$C$500,"=51",'Plan prihoda za unos u SAP'!$K$3:$K$500,"=638")</f>
        <v>0</v>
      </c>
      <c r="K15" s="186">
        <f>SUMIFS('Plan prihoda za unos u SAP'!$G$3:$G$500,'Plan prihoda za unos u SAP'!$C$3:$C$500,"=52",'Plan prihoda za unos u SAP'!$K$3:$K$500,"=638")</f>
        <v>3220287</v>
      </c>
      <c r="L15" s="186">
        <f>SUMIFS('Plan prihoda za unos u SAP'!$G$3:$G$500,'Plan prihoda za unos u SAP'!$C$3:$C$500,"=552",'Plan prihoda za unos u SAP'!$K$3:$K$500,"=638")</f>
        <v>0</v>
      </c>
      <c r="M15" s="186">
        <f>SUMIFS('Plan prihoda za unos u SAP'!$G$3:$G$500,'Plan prihoda za unos u SAP'!$C$3:$C$500,"=559",'Plan prihoda za unos u SAP'!$K$3:$K$500,"=638")</f>
        <v>0</v>
      </c>
      <c r="N15" s="186">
        <f>SUMIFS('Plan prihoda za unos u SAP'!$G$3:$G$500,'Plan prihoda za unos u SAP'!$C$3:$C$500,"=561",'Plan prihoda za unos u SAP'!$K$3:$K$500,"=638")</f>
        <v>0</v>
      </c>
      <c r="O15" s="186">
        <f>SUMIFS('Plan prihoda za unos u SAP'!$G$3:$G$500,'Plan prihoda za unos u SAP'!$C$3:$C$500,"=563",'Plan prihoda za unos u SAP'!$K$3:$K$500,"=638")</f>
        <v>0</v>
      </c>
      <c r="P15" s="186">
        <f>SUMIFS('Plan prihoda za unos u SAP'!$G$3:$G$500,'Plan prihoda za unos u SAP'!$C$3:$C$500,"=573",'Plan prihoda za unos u SAP'!$K$3:$K$500,"=638")</f>
        <v>0</v>
      </c>
      <c r="Q15" s="186">
        <f>SUMIFS('Plan prihoda za unos u SAP'!$G$3:$G$500,'Plan prihoda za unos u SAP'!$C$3:$C$500,"=575",'Plan prihoda za unos u SAP'!$K$3:$K$500,"=638")</f>
        <v>0</v>
      </c>
      <c r="R15" s="186">
        <f>SUMIFS('Plan prihoda za unos u SAP'!$G$3:$G$500,'Plan prihoda za unos u SAP'!$C$3:$C$500,"=576",'Plan prihoda za unos u SAP'!$K$3:$K$500,"=638")</f>
        <v>0</v>
      </c>
      <c r="S15" s="186">
        <f>SUMIFS('Plan prihoda za unos u SAP'!$G$3:$G$500,'Plan prihoda za unos u SAP'!$C$3:$C$500,"=581",'Plan prihoda za unos u SAP'!$K$3:$K$500,"=638")</f>
        <v>0</v>
      </c>
      <c r="T15" s="186">
        <f>SUMIFS('Plan prihoda za unos u SAP'!$G$3:$G$500,'Plan prihoda za unos u SAP'!$C$3:$C$500,"=61",'Plan prihoda za unos u SAP'!$K$3:$K$500,"=638")</f>
        <v>0</v>
      </c>
      <c r="U15" s="186">
        <f>SUMIFS('Plan prihoda za unos u SAP'!$G$3:$G$500,'Plan prihoda za unos u SAP'!$C$3:$C$500,"=63",'Plan prihoda za unos u SAP'!$K$3:$K$500,"=638")</f>
        <v>0</v>
      </c>
      <c r="V15" s="186">
        <f>SUMIFS('Plan prihoda za unos u SAP'!$G$3:$G$500,'Plan prihoda za unos u SAP'!$C$3:$C$500,"=71",'Plan prihoda za unos u SAP'!$K$3:$K$500,"=638")</f>
        <v>0</v>
      </c>
      <c r="W15" s="186">
        <f>SUMIFS('Plan prihoda za unos u SAP'!$G$3:$G$500,'Plan prihoda za unos u SAP'!$C$3:$C$500,"=81",'Plan prihoda za unos u SAP'!$K$3:$K$500,"=638")</f>
        <v>0</v>
      </c>
    </row>
    <row r="16" spans="1:29" s="90" customFormat="1">
      <c r="A16" s="90">
        <v>2021</v>
      </c>
      <c r="B16" s="95" t="s">
        <v>282</v>
      </c>
      <c r="C16" s="96" t="s">
        <v>41</v>
      </c>
      <c r="D16" s="70">
        <f t="shared" si="0"/>
        <v>3629141</v>
      </c>
      <c r="E16" s="186">
        <f>SUMIFS('Plan prihoda za unos u SAP'!$G$3:$G$500,'Plan prihoda za unos u SAP'!$C$3:$C$500,"=11",'Plan prihoda za unos u SAP'!$K$3:$K$500,"=639")</f>
        <v>0</v>
      </c>
      <c r="F16" s="186">
        <f>SUMIFS('Plan prihoda za unos u SAP'!$G$3:$G$500,'Plan prihoda za unos u SAP'!$C$3:$C$500,"=12",'Plan prihoda za unos u SAP'!$K$3:$K$500,"=639")</f>
        <v>0</v>
      </c>
      <c r="G16" s="186">
        <f>SUMIFS('Plan prihoda za unos u SAP'!$G$3:$G$500,'Plan prihoda za unos u SAP'!$C$3:$C$500,"=31",'Plan prihoda za unos u SAP'!$K$3:$K$500,"=639")</f>
        <v>0</v>
      </c>
      <c r="H16" s="186">
        <f>SUMIFS('Plan prihoda za unos u SAP'!$G$3:$G$500,'Plan prihoda za unos u SAP'!$C$3:$C$500,"=41",'Plan prihoda za unos u SAP'!$K$3:$K$500,"=639")</f>
        <v>0</v>
      </c>
      <c r="I16" s="186">
        <f>SUMIFS('Plan prihoda za unos u SAP'!$G$3:$G$500,'Plan prihoda za unos u SAP'!$C$3:$C$500,"=43",'Plan prihoda za unos u SAP'!$K$3:$K$500,"=639")</f>
        <v>0</v>
      </c>
      <c r="J16" s="186">
        <f>SUMIFS('Plan prihoda za unos u SAP'!$G$3:$G$500,'Plan prihoda za unos u SAP'!$C$3:$C$500,"=51",'Plan prihoda za unos u SAP'!$K$3:$K$500,"=639")</f>
        <v>0</v>
      </c>
      <c r="K16" s="186">
        <f>SUMIFS('Plan prihoda za unos u SAP'!$G$3:$G$500,'Plan prihoda za unos u SAP'!$C$3:$C$500,"=52",'Plan prihoda za unos u SAP'!$K$3:$K$500,"=639")</f>
        <v>3629141</v>
      </c>
      <c r="L16" s="186">
        <f>SUMIFS('Plan prihoda za unos u SAP'!$G$3:$G$500,'Plan prihoda za unos u SAP'!$C$3:$C$500,"=552",'Plan prihoda za unos u SAP'!$K$3:$K$500,"=639")</f>
        <v>0</v>
      </c>
      <c r="M16" s="186">
        <f>SUMIFS('Plan prihoda za unos u SAP'!$G$3:$G$500,'Plan prihoda za unos u SAP'!$C$3:$C$500,"=559",'Plan prihoda za unos u SAP'!$K$3:$K$500,"=639")</f>
        <v>0</v>
      </c>
      <c r="N16" s="186">
        <f>SUMIFS('Plan prihoda za unos u SAP'!$G$3:$G$500,'Plan prihoda za unos u SAP'!$C$3:$C$500,"=561",'Plan prihoda za unos u SAP'!$K$3:$K$500,"=639")</f>
        <v>0</v>
      </c>
      <c r="O16" s="186">
        <f>SUMIFS('Plan prihoda za unos u SAP'!$G$3:$G$500,'Plan prihoda za unos u SAP'!$C$3:$C$500,"=563",'Plan prihoda za unos u SAP'!$K$3:$K$500,"=639")</f>
        <v>0</v>
      </c>
      <c r="P16" s="186">
        <f>SUMIFS('Plan prihoda za unos u SAP'!$G$3:$G$500,'Plan prihoda za unos u SAP'!$C$3:$C$500,"=573",'Plan prihoda za unos u SAP'!$K$3:$K$500,"=639")</f>
        <v>0</v>
      </c>
      <c r="Q16" s="186">
        <f>SUMIFS('Plan prihoda za unos u SAP'!$G$3:$G$500,'Plan prihoda za unos u SAP'!$C$3:$C$500,"=575",'Plan prihoda za unos u SAP'!$K$3:$K$500,"=639")</f>
        <v>0</v>
      </c>
      <c r="R16" s="186">
        <f>SUMIFS('Plan prihoda za unos u SAP'!$G$3:$G$500,'Plan prihoda za unos u SAP'!$C$3:$C$500,"=576",'Plan prihoda za unos u SAP'!$K$3:$K$500,"=639")</f>
        <v>0</v>
      </c>
      <c r="S16" s="186">
        <f>SUMIFS('Plan prihoda za unos u SAP'!$G$3:$G$500,'Plan prihoda za unos u SAP'!$C$3:$C$500,"=581",'Plan prihoda za unos u SAP'!$K$3:$K$500,"=639")</f>
        <v>0</v>
      </c>
      <c r="T16" s="186">
        <f>SUMIFS('Plan prihoda za unos u SAP'!$G$3:$G$500,'Plan prihoda za unos u SAP'!$C$3:$C$500,"=61",'Plan prihoda za unos u SAP'!$K$3:$K$500,"=639")</f>
        <v>0</v>
      </c>
      <c r="U16" s="186">
        <f>SUMIFS('Plan prihoda za unos u SAP'!$G$3:$G$500,'Plan prihoda za unos u SAP'!$C$3:$C$500,"=63",'Plan prihoda za unos u SAP'!$K$3:$K$500,"=639")</f>
        <v>0</v>
      </c>
      <c r="V16" s="186">
        <f>SUMIFS('Plan prihoda za unos u SAP'!$G$3:$G$500,'Plan prihoda za unos u SAP'!$C$3:$C$500,"=71",'Plan prihoda za unos u SAP'!$K$3:$K$500,"=639")</f>
        <v>0</v>
      </c>
      <c r="W16" s="186">
        <f>SUMIFS('Plan prihoda za unos u SAP'!$G$3:$G$500,'Plan prihoda za unos u SAP'!$C$3:$C$500,"=81",'Plan prihoda za unos u SAP'!$K$3:$K$500,"=639")</f>
        <v>0</v>
      </c>
    </row>
    <row r="17" spans="1:23" s="90" customFormat="1">
      <c r="A17" s="90">
        <v>2021</v>
      </c>
      <c r="B17" s="95" t="s">
        <v>283</v>
      </c>
      <c r="C17" s="96" t="s">
        <v>284</v>
      </c>
      <c r="D17" s="70">
        <f t="shared" si="0"/>
        <v>250000</v>
      </c>
      <c r="E17" s="186">
        <f>SUMIFS('Plan prihoda za unos u SAP'!$G$3:$G$500,'Plan prihoda za unos u SAP'!$C$3:$C$500,"=11",'Plan prihoda za unos u SAP'!$K$3:$K$500,"=641")</f>
        <v>0</v>
      </c>
      <c r="F17" s="186">
        <f>SUMIFS('Plan prihoda za unos u SAP'!$G$3:$G$500,'Plan prihoda za unos u SAP'!$C$3:$C$500,"=12",'Plan prihoda za unos u SAP'!$K$3:$K$500,"=641")</f>
        <v>0</v>
      </c>
      <c r="G17" s="186">
        <f>SUMIFS('Plan prihoda za unos u SAP'!$G$3:$G$500,'Plan prihoda za unos u SAP'!$C$3:$C$500,"=31",'Plan prihoda za unos u SAP'!$K$3:$K$500,"=641")</f>
        <v>250000</v>
      </c>
      <c r="H17" s="186">
        <f>SUMIFS('Plan prihoda za unos u SAP'!$G$3:$G$500,'Plan prihoda za unos u SAP'!$C$3:$C$500,"=41",'Plan prihoda za unos u SAP'!$K$3:$K$500,"=641")</f>
        <v>0</v>
      </c>
      <c r="I17" s="186">
        <f>SUMIFS('Plan prihoda za unos u SAP'!$G$3:$G$500,'Plan prihoda za unos u SAP'!$C$3:$C$500,"=43",'Plan prihoda za unos u SAP'!$K$3:$K$500,"=641")</f>
        <v>0</v>
      </c>
      <c r="J17" s="186">
        <f>SUMIFS('Plan prihoda za unos u SAP'!$G$3:$G$500,'Plan prihoda za unos u SAP'!$C$3:$C$500,"=51",'Plan prihoda za unos u SAP'!$K$3:$K$500,"=641")</f>
        <v>0</v>
      </c>
      <c r="K17" s="186">
        <f>SUMIFS('Plan prihoda za unos u SAP'!$G$3:$G$500,'Plan prihoda za unos u SAP'!$C$3:$C$500,"=52",'Plan prihoda za unos u SAP'!$K$3:$K$500,"=641")</f>
        <v>0</v>
      </c>
      <c r="L17" s="186">
        <f>SUMIFS('Plan prihoda za unos u SAP'!$G$3:$G$500,'Plan prihoda za unos u SAP'!$C$3:$C$500,"=552",'Plan prihoda za unos u SAP'!$K$3:$K$500,"=641")</f>
        <v>0</v>
      </c>
      <c r="M17" s="186">
        <f>SUMIFS('Plan prihoda za unos u SAP'!$G$3:$G$500,'Plan prihoda za unos u SAP'!$C$3:$C$500,"=559",'Plan prihoda za unos u SAP'!$K$3:$K$500,"=641")</f>
        <v>0</v>
      </c>
      <c r="N17" s="186">
        <f>SUMIFS('Plan prihoda za unos u SAP'!$G$3:$G$500,'Plan prihoda za unos u SAP'!$C$3:$C$500,"=561",'Plan prihoda za unos u SAP'!$K$3:$K$500,"=641")</f>
        <v>0</v>
      </c>
      <c r="O17" s="186">
        <f>SUMIFS('Plan prihoda za unos u SAP'!$G$3:$G$500,'Plan prihoda za unos u SAP'!$C$3:$C$500,"=563",'Plan prihoda za unos u SAP'!$K$3:$K$500,"=641")</f>
        <v>0</v>
      </c>
      <c r="P17" s="186">
        <f>SUMIFS('Plan prihoda za unos u SAP'!$G$3:$G$500,'Plan prihoda za unos u SAP'!$C$3:$C$500,"=573",'Plan prihoda za unos u SAP'!$K$3:$K$500,"=641")</f>
        <v>0</v>
      </c>
      <c r="Q17" s="186">
        <f>SUMIFS('Plan prihoda za unos u SAP'!$G$3:$G$500,'Plan prihoda za unos u SAP'!$C$3:$C$500,"=575",'Plan prihoda za unos u SAP'!$K$3:$K$500,"=641")</f>
        <v>0</v>
      </c>
      <c r="R17" s="186">
        <f>SUMIFS('Plan prihoda za unos u SAP'!$G$3:$G$500,'Plan prihoda za unos u SAP'!$C$3:$C$500,"=576",'Plan prihoda za unos u SAP'!$K$3:$K$500,"=641")</f>
        <v>0</v>
      </c>
      <c r="S17" s="186">
        <f>SUMIFS('Plan prihoda za unos u SAP'!$G$3:$G$500,'Plan prihoda za unos u SAP'!$C$3:$C$500,"=581",'Plan prihoda za unos u SAP'!$K$3:$K$500,"=641")</f>
        <v>0</v>
      </c>
      <c r="T17" s="186">
        <f>SUMIFS('Plan prihoda za unos u SAP'!$G$3:$G$500,'Plan prihoda za unos u SAP'!$C$3:$C$500,"=61",'Plan prihoda za unos u SAP'!$K$3:$K$500,"=641")</f>
        <v>0</v>
      </c>
      <c r="U17" s="186">
        <f>SUMIFS('Plan prihoda za unos u SAP'!$G$3:$G$500,'Plan prihoda za unos u SAP'!$C$3:$C$500,"=63",'Plan prihoda za unos u SAP'!$K$3:$K$500,"=641")</f>
        <v>0</v>
      </c>
      <c r="V17" s="186">
        <f>SUMIFS('Plan prihoda za unos u SAP'!$G$3:$G$500,'Plan prihoda za unos u SAP'!$C$3:$C$500,"=71",'Plan prihoda za unos u SAP'!$K$3:$K$500,"=641")</f>
        <v>0</v>
      </c>
      <c r="W17" s="186">
        <f>SUMIFS('Plan prihoda za unos u SAP'!$G$3:$G$500,'Plan prihoda za unos u SAP'!$C$3:$C$500,"=81",'Plan prihoda za unos u SAP'!$K$3:$K$500,"=641")</f>
        <v>0</v>
      </c>
    </row>
    <row r="18" spans="1:23" s="90" customFormat="1">
      <c r="A18" s="90">
        <v>2021</v>
      </c>
      <c r="B18" s="95" t="s">
        <v>285</v>
      </c>
      <c r="C18" s="96" t="s">
        <v>286</v>
      </c>
      <c r="D18" s="70">
        <f t="shared" si="0"/>
        <v>0</v>
      </c>
      <c r="E18" s="186">
        <f>SUMIFS('Plan prihoda za unos u SAP'!$G$3:$G$500,'Plan prihoda za unos u SAP'!$C$3:$C$500,"=11",'Plan prihoda za unos u SAP'!$K$3:$K$500,"=642")</f>
        <v>0</v>
      </c>
      <c r="F18" s="186">
        <f>SUMIFS('Plan prihoda za unos u SAP'!$G$3:$G$500,'Plan prihoda za unos u SAP'!$C$3:$C$500,"=12",'Plan prihoda za unos u SAP'!$K$3:$K$500,"=642")</f>
        <v>0</v>
      </c>
      <c r="G18" s="186">
        <f>SUMIFS('Plan prihoda za unos u SAP'!$G$3:$G$500,'Plan prihoda za unos u SAP'!$C$3:$C$500,"=31",'Plan prihoda za unos u SAP'!$K$3:$K$500,"=642")</f>
        <v>0</v>
      </c>
      <c r="H18" s="186">
        <f>SUMIFS('Plan prihoda za unos u SAP'!$G$3:$G$500,'Plan prihoda za unos u SAP'!$C$3:$C$500,"=41",'Plan prihoda za unos u SAP'!$K$3:$K$500,"=642")</f>
        <v>0</v>
      </c>
      <c r="I18" s="186">
        <f>SUMIFS('Plan prihoda za unos u SAP'!$G$3:$G$500,'Plan prihoda za unos u SAP'!$C$3:$C$500,"=43",'Plan prihoda za unos u SAP'!$K$3:$K$500,"=642")</f>
        <v>0</v>
      </c>
      <c r="J18" s="186">
        <f>SUMIFS('Plan prihoda za unos u SAP'!$G$3:$G$500,'Plan prihoda za unos u SAP'!$C$3:$C$500,"=51",'Plan prihoda za unos u SAP'!$K$3:$K$500,"=642")</f>
        <v>0</v>
      </c>
      <c r="K18" s="186">
        <f>SUMIFS('Plan prihoda za unos u SAP'!$G$3:$G$500,'Plan prihoda za unos u SAP'!$C$3:$C$500,"=52",'Plan prihoda za unos u SAP'!$K$3:$K$500,"=642")</f>
        <v>0</v>
      </c>
      <c r="L18" s="186">
        <f>SUMIFS('Plan prihoda za unos u SAP'!$G$3:$G$500,'Plan prihoda za unos u SAP'!$C$3:$C$500,"=552",'Plan prihoda za unos u SAP'!$K$3:$K$500,"=642")</f>
        <v>0</v>
      </c>
      <c r="M18" s="186">
        <f>SUMIFS('Plan prihoda za unos u SAP'!$G$3:$G$500,'Plan prihoda za unos u SAP'!$C$3:$C$500,"=559",'Plan prihoda za unos u SAP'!$K$3:$K$500,"=642")</f>
        <v>0</v>
      </c>
      <c r="N18" s="186">
        <f>SUMIFS('Plan prihoda za unos u SAP'!$G$3:$G$500,'Plan prihoda za unos u SAP'!$C$3:$C$500,"=561",'Plan prihoda za unos u SAP'!$K$3:$K$500,"=642")</f>
        <v>0</v>
      </c>
      <c r="O18" s="186">
        <f>SUMIFS('Plan prihoda za unos u SAP'!$G$3:$G$500,'Plan prihoda za unos u SAP'!$C$3:$C$500,"=563",'Plan prihoda za unos u SAP'!$K$3:$K$500,"=642")</f>
        <v>0</v>
      </c>
      <c r="P18" s="186">
        <f>SUMIFS('Plan prihoda za unos u SAP'!$G$3:$G$500,'Plan prihoda za unos u SAP'!$C$3:$C$500,"=573",'Plan prihoda za unos u SAP'!$K$3:$K$500,"=642")</f>
        <v>0</v>
      </c>
      <c r="Q18" s="186">
        <f>SUMIFS('Plan prihoda za unos u SAP'!$G$3:$G$500,'Plan prihoda za unos u SAP'!$C$3:$C$500,"=575",'Plan prihoda za unos u SAP'!$K$3:$K$500,"=642")</f>
        <v>0</v>
      </c>
      <c r="R18" s="186">
        <f>SUMIFS('Plan prihoda za unos u SAP'!$G$3:$G$500,'Plan prihoda za unos u SAP'!$C$3:$C$500,"=576",'Plan prihoda za unos u SAP'!$K$3:$K$500,"=642")</f>
        <v>0</v>
      </c>
      <c r="S18" s="186">
        <f>SUMIFS('Plan prihoda za unos u SAP'!$G$3:$G$500,'Plan prihoda za unos u SAP'!$C$3:$C$500,"=581",'Plan prihoda za unos u SAP'!$K$3:$K$500,"=642")</f>
        <v>0</v>
      </c>
      <c r="T18" s="186">
        <f>SUMIFS('Plan prihoda za unos u SAP'!$G$3:$G$500,'Plan prihoda za unos u SAP'!$C$3:$C$500,"=61",'Plan prihoda za unos u SAP'!$K$3:$K$500,"=642")</f>
        <v>0</v>
      </c>
      <c r="U18" s="186">
        <f>SUMIFS('Plan prihoda za unos u SAP'!$G$3:$G$500,'Plan prihoda za unos u SAP'!$C$3:$C$500,"=63",'Plan prihoda za unos u SAP'!$K$3:$K$500,"=642")</f>
        <v>0</v>
      </c>
      <c r="V18" s="186">
        <f>SUMIFS('Plan prihoda za unos u SAP'!$G$3:$G$500,'Plan prihoda za unos u SAP'!$C$3:$C$500,"=71",'Plan prihoda za unos u SAP'!$K$3:$K$500,"=642")</f>
        <v>0</v>
      </c>
      <c r="W18" s="186">
        <f>SUMIFS('Plan prihoda za unos u SAP'!$G$3:$G$500,'Plan prihoda za unos u SAP'!$C$3:$C$500,"=81",'Plan prihoda za unos u SAP'!$K$3:$K$500,"=642")</f>
        <v>0</v>
      </c>
    </row>
    <row r="19" spans="1:23" s="90" customFormat="1">
      <c r="A19" s="90">
        <v>2021</v>
      </c>
      <c r="B19" s="203" t="s">
        <v>738</v>
      </c>
      <c r="C19" s="96" t="s">
        <v>737</v>
      </c>
      <c r="D19" s="70">
        <f t="shared" si="0"/>
        <v>0</v>
      </c>
      <c r="E19" s="186">
        <f>SUMIFS('Plan prihoda za unos u SAP'!$G$3:$G$500,'Plan prihoda za unos u SAP'!$C$3:$C$500,"=11",'Plan prihoda za unos u SAP'!$K$3:$K$500,"=651")</f>
        <v>0</v>
      </c>
      <c r="F19" s="186">
        <f>SUMIFS('Plan prihoda za unos u SAP'!$G$3:$G$500,'Plan prihoda za unos u SAP'!$C$3:$C$500,"=12",'Plan prihoda za unos u SAP'!$K$3:$K$500,"=651")</f>
        <v>0</v>
      </c>
      <c r="G19" s="186">
        <f>SUMIFS('Plan prihoda za unos u SAP'!$G$3:$G$500,'Plan prihoda za unos u SAP'!$C$3:$C$500,"=31",'Plan prihoda za unos u SAP'!$K$3:$K$500,"=651")</f>
        <v>0</v>
      </c>
      <c r="H19" s="186">
        <f>SUMIFS('Plan prihoda za unos u SAP'!$G$3:$G$500,'Plan prihoda za unos u SAP'!$C$3:$C$500,"=41",'Plan prihoda za unos u SAP'!$K$3:$K$500,"=651")</f>
        <v>0</v>
      </c>
      <c r="I19" s="186">
        <f>SUMIFS('Plan prihoda za unos u SAP'!$G$3:$G$500,'Plan prihoda za unos u SAP'!$C$3:$C$500,"=43",'Plan prihoda za unos u SAP'!$K$3:$K$500,"=651")</f>
        <v>0</v>
      </c>
      <c r="J19" s="186">
        <f>SUMIFS('Plan prihoda za unos u SAP'!$G$3:$G$500,'Plan prihoda za unos u SAP'!$C$3:$C$500,"=51",'Plan prihoda za unos u SAP'!$K$3:$K$500,"=651")</f>
        <v>0</v>
      </c>
      <c r="K19" s="186">
        <f>SUMIFS('Plan prihoda za unos u SAP'!$G$3:$G$500,'Plan prihoda za unos u SAP'!$C$3:$C$500,"=52",'Plan prihoda za unos u SAP'!$K$3:$K$500,"=651")</f>
        <v>0</v>
      </c>
      <c r="L19" s="186">
        <f>SUMIFS('Plan prihoda za unos u SAP'!$G$3:$G$500,'Plan prihoda za unos u SAP'!$C$3:$C$500,"=552",'Plan prihoda za unos u SAP'!$K$3:$K$500,"=651")</f>
        <v>0</v>
      </c>
      <c r="M19" s="186">
        <f>SUMIFS('Plan prihoda za unos u SAP'!$G$3:$G$500,'Plan prihoda za unos u SAP'!$C$3:$C$500,"=559",'Plan prihoda za unos u SAP'!$K$3:$K$500,"=651")</f>
        <v>0</v>
      </c>
      <c r="N19" s="186">
        <f>SUMIFS('Plan prihoda za unos u SAP'!$G$3:$G$500,'Plan prihoda za unos u SAP'!$C$3:$C$500,"=561",'Plan prihoda za unos u SAP'!$K$3:$K$500,"=651")</f>
        <v>0</v>
      </c>
      <c r="O19" s="186">
        <f>SUMIFS('Plan prihoda za unos u SAP'!$G$3:$G$500,'Plan prihoda za unos u SAP'!$C$3:$C$500,"=563",'Plan prihoda za unos u SAP'!$K$3:$K$500,"=651")</f>
        <v>0</v>
      </c>
      <c r="P19" s="186">
        <f>SUMIFS('Plan prihoda za unos u SAP'!$G$3:$G$500,'Plan prihoda za unos u SAP'!$C$3:$C$500,"=573",'Plan prihoda za unos u SAP'!$K$3:$K$500,"=651")</f>
        <v>0</v>
      </c>
      <c r="Q19" s="186">
        <f>SUMIFS('Plan prihoda za unos u SAP'!$G$3:$G$500,'Plan prihoda za unos u SAP'!$C$3:$C$500,"=575",'Plan prihoda za unos u SAP'!$K$3:$K$500,"=651")</f>
        <v>0</v>
      </c>
      <c r="R19" s="186">
        <f>SUMIFS('Plan prihoda za unos u SAP'!$G$3:$G$500,'Plan prihoda za unos u SAP'!$C$3:$C$500,"=576",'Plan prihoda za unos u SAP'!$K$3:$K$500,"=651")</f>
        <v>0</v>
      </c>
      <c r="S19" s="186">
        <f>SUMIFS('Plan prihoda za unos u SAP'!$G$3:$G$500,'Plan prihoda za unos u SAP'!$C$3:$C$500,"=581",'Plan prihoda za unos u SAP'!$K$3:$K$500,"=651")</f>
        <v>0</v>
      </c>
      <c r="T19" s="186">
        <f>SUMIFS('Plan prihoda za unos u SAP'!$G$3:$G$500,'Plan prihoda za unos u SAP'!$C$3:$C$500,"=61",'Plan prihoda za unos u SAP'!$K$3:$K$500,"=651")</f>
        <v>0</v>
      </c>
      <c r="U19" s="186">
        <f>SUMIFS('Plan prihoda za unos u SAP'!$G$3:$G$500,'Plan prihoda za unos u SAP'!$C$3:$C$500,"=63",'Plan prihoda za unos u SAP'!$K$3:$K$500,"=651")</f>
        <v>0</v>
      </c>
      <c r="V19" s="186">
        <f>SUMIFS('Plan prihoda za unos u SAP'!$G$3:$G$500,'Plan prihoda za unos u SAP'!$C$3:$C$500,"=71",'Plan prihoda za unos u SAP'!$K$3:$K$500,"=651")</f>
        <v>0</v>
      </c>
      <c r="W19" s="186">
        <f>SUMIFS('Plan prihoda za unos u SAP'!$G$3:$G$500,'Plan prihoda za unos u SAP'!$C$3:$C$500,"=81",'Plan prihoda za unos u SAP'!$K$3:$K$500,"=651")</f>
        <v>0</v>
      </c>
    </row>
    <row r="20" spans="1:23" s="90" customFormat="1">
      <c r="A20" s="90">
        <v>2021</v>
      </c>
      <c r="B20" s="95" t="s">
        <v>287</v>
      </c>
      <c r="C20" s="96" t="s">
        <v>288</v>
      </c>
      <c r="D20" s="70">
        <f t="shared" si="0"/>
        <v>15000000</v>
      </c>
      <c r="E20" s="186">
        <f>SUMIFS('Plan prihoda za unos u SAP'!$G$3:$G$500,'Plan prihoda za unos u SAP'!$C$3:$C$500,"=11",'Plan prihoda za unos u SAP'!$K$3:$K$500,"=652")</f>
        <v>0</v>
      </c>
      <c r="F20" s="186">
        <f>SUMIFS('Plan prihoda za unos u SAP'!$G$3:$G$500,'Plan prihoda za unos u SAP'!$C$3:$C$500,"=12",'Plan prihoda za unos u SAP'!$K$3:$K$500,"=652")</f>
        <v>0</v>
      </c>
      <c r="G20" s="186">
        <f>SUMIFS('Plan prihoda za unos u SAP'!$G$3:$G$500,'Plan prihoda za unos u SAP'!$C$3:$C$500,"=31",'Plan prihoda za unos u SAP'!$K$3:$K$500,"=652")</f>
        <v>0</v>
      </c>
      <c r="H20" s="186">
        <f>SUMIFS('Plan prihoda za unos u SAP'!$G$3:$G$500,'Plan prihoda za unos u SAP'!$C$3:$C$500,"=41",'Plan prihoda za unos u SAP'!$K$3:$K$500,"=652")</f>
        <v>0</v>
      </c>
      <c r="I20" s="186">
        <f>SUMIFS('Plan prihoda za unos u SAP'!$G$3:$G$500,'Plan prihoda za unos u SAP'!$C$3:$C$500,"=43",'Plan prihoda za unos u SAP'!$K$3:$K$500,"=652")</f>
        <v>15000000</v>
      </c>
      <c r="J20" s="186">
        <f>SUMIFS('Plan prihoda za unos u SAP'!$G$3:$G$500,'Plan prihoda za unos u SAP'!$C$3:$C$500,"=51",'Plan prihoda za unos u SAP'!$K$3:$K$500,"=652")</f>
        <v>0</v>
      </c>
      <c r="K20" s="186">
        <f>SUMIFS('Plan prihoda za unos u SAP'!$G$3:$G$500,'Plan prihoda za unos u SAP'!$C$3:$C$500,"=52",'Plan prihoda za unos u SAP'!$K$3:$K$500,"=652")</f>
        <v>0</v>
      </c>
      <c r="L20" s="186">
        <f>SUMIFS('Plan prihoda za unos u SAP'!$G$3:$G$500,'Plan prihoda za unos u SAP'!$C$3:$C$500,"=552",'Plan prihoda za unos u SAP'!$K$3:$K$500,"=652")</f>
        <v>0</v>
      </c>
      <c r="M20" s="186">
        <f>SUMIFS('Plan prihoda za unos u SAP'!$G$3:$G$500,'Plan prihoda za unos u SAP'!$C$3:$C$500,"=559",'Plan prihoda za unos u SAP'!$K$3:$K$500,"=652")</f>
        <v>0</v>
      </c>
      <c r="N20" s="186">
        <f>SUMIFS('Plan prihoda za unos u SAP'!$G$3:$G$500,'Plan prihoda za unos u SAP'!$C$3:$C$500,"=561",'Plan prihoda za unos u SAP'!$K$3:$K$500,"=652")</f>
        <v>0</v>
      </c>
      <c r="O20" s="186">
        <f>SUMIFS('Plan prihoda za unos u SAP'!$G$3:$G$500,'Plan prihoda za unos u SAP'!$C$3:$C$500,"=563",'Plan prihoda za unos u SAP'!$K$3:$K$500,"=652")</f>
        <v>0</v>
      </c>
      <c r="P20" s="186">
        <f>SUMIFS('Plan prihoda za unos u SAP'!$G$3:$G$500,'Plan prihoda za unos u SAP'!$C$3:$C$500,"=573",'Plan prihoda za unos u SAP'!$K$3:$K$500,"=652")</f>
        <v>0</v>
      </c>
      <c r="Q20" s="186">
        <f>SUMIFS('Plan prihoda za unos u SAP'!$G$3:$G$500,'Plan prihoda za unos u SAP'!$C$3:$C$500,"=575",'Plan prihoda za unos u SAP'!$K$3:$K$500,"=652")</f>
        <v>0</v>
      </c>
      <c r="R20" s="186">
        <f>SUMIFS('Plan prihoda za unos u SAP'!$G$3:$G$500,'Plan prihoda za unos u SAP'!$C$3:$C$500,"=576",'Plan prihoda za unos u SAP'!$K$3:$K$500,"=652")</f>
        <v>0</v>
      </c>
      <c r="S20" s="186">
        <f>SUMIFS('Plan prihoda za unos u SAP'!$G$3:$G$500,'Plan prihoda za unos u SAP'!$C$3:$C$500,"=581",'Plan prihoda za unos u SAP'!$K$3:$K$500,"=652")</f>
        <v>0</v>
      </c>
      <c r="T20" s="186">
        <f>SUMIFS('Plan prihoda za unos u SAP'!$G$3:$G$500,'Plan prihoda za unos u SAP'!$C$3:$C$500,"=61",'Plan prihoda za unos u SAP'!$K$3:$K$500,"=652")</f>
        <v>0</v>
      </c>
      <c r="U20" s="186">
        <f>SUMIFS('Plan prihoda za unos u SAP'!$G$3:$G$500,'Plan prihoda za unos u SAP'!$C$3:$C$500,"=63",'Plan prihoda za unos u SAP'!$K$3:$K$500,"=652")</f>
        <v>0</v>
      </c>
      <c r="V20" s="186">
        <f>SUMIFS('Plan prihoda za unos u SAP'!$G$3:$G$500,'Plan prihoda za unos u SAP'!$C$3:$C$500,"=71",'Plan prihoda za unos u SAP'!$K$3:$K$500,"=652")</f>
        <v>0</v>
      </c>
      <c r="W20" s="186">
        <f>SUMIFS('Plan prihoda za unos u SAP'!$G$3:$G$500,'Plan prihoda za unos u SAP'!$C$3:$C$500,"=81",'Plan prihoda za unos u SAP'!$K$3:$K$500,"=652")</f>
        <v>0</v>
      </c>
    </row>
    <row r="21" spans="1:23" s="90" customFormat="1">
      <c r="A21" s="90">
        <v>2021</v>
      </c>
      <c r="B21" s="95" t="s">
        <v>289</v>
      </c>
      <c r="C21" s="96" t="s">
        <v>290</v>
      </c>
      <c r="D21" s="70">
        <f t="shared" si="0"/>
        <v>8350000</v>
      </c>
      <c r="E21" s="186">
        <f>SUMIFS('Plan prihoda za unos u SAP'!$G$3:$G$500,'Plan prihoda za unos u SAP'!$C$3:$C$500,"=11",'Plan prihoda za unos u SAP'!$K$3:$K$500,"=661")</f>
        <v>0</v>
      </c>
      <c r="F21" s="186">
        <f>SUMIFS('Plan prihoda za unos u SAP'!$G$3:$G$500,'Plan prihoda za unos u SAP'!$C$3:$C$500,"=12",'Plan prihoda za unos u SAP'!$K$3:$K$500,"=661")</f>
        <v>0</v>
      </c>
      <c r="G21" s="186">
        <f>SUMIFS('Plan prihoda za unos u SAP'!$G$3:$G$500,'Plan prihoda za unos u SAP'!$C$3:$C$500,"=31",'Plan prihoda za unos u SAP'!$K$3:$K$500,"=661")</f>
        <v>8350000</v>
      </c>
      <c r="H21" s="186">
        <f>SUMIFS('Plan prihoda za unos u SAP'!$G$3:$G$500,'Plan prihoda za unos u SAP'!$C$3:$C$500,"=41",'Plan prihoda za unos u SAP'!$K$3:$K$500,"=661")</f>
        <v>0</v>
      </c>
      <c r="I21" s="186">
        <f>SUMIFS('Plan prihoda za unos u SAP'!$G$3:$G$500,'Plan prihoda za unos u SAP'!$C$3:$C$500,"=43",'Plan prihoda za unos u SAP'!$K$3:$K$500,"=661")</f>
        <v>0</v>
      </c>
      <c r="J21" s="186">
        <f>SUMIFS('Plan prihoda za unos u SAP'!$G$3:$G$500,'Plan prihoda za unos u SAP'!$C$3:$C$500,"=51",'Plan prihoda za unos u SAP'!$K$3:$K$500,"=661")</f>
        <v>0</v>
      </c>
      <c r="K21" s="186">
        <f>SUMIFS('Plan prihoda za unos u SAP'!$G$3:$G$500,'Plan prihoda za unos u SAP'!$C$3:$C$500,"=52",'Plan prihoda za unos u SAP'!$K$3:$K$500,"=661")</f>
        <v>0</v>
      </c>
      <c r="L21" s="186">
        <f>SUMIFS('Plan prihoda za unos u SAP'!$G$3:$G$500,'Plan prihoda za unos u SAP'!$C$3:$C$500,"=552",'Plan prihoda za unos u SAP'!$K$3:$K$500,"=661")</f>
        <v>0</v>
      </c>
      <c r="M21" s="186">
        <f>SUMIFS('Plan prihoda za unos u SAP'!$G$3:$G$500,'Plan prihoda za unos u SAP'!$C$3:$C$500,"=559",'Plan prihoda za unos u SAP'!$K$3:$K$500,"=661")</f>
        <v>0</v>
      </c>
      <c r="N21" s="186">
        <f>SUMIFS('Plan prihoda za unos u SAP'!$G$3:$G$500,'Plan prihoda za unos u SAP'!$C$3:$C$500,"=561",'Plan prihoda za unos u SAP'!$K$3:$K$500,"=661")</f>
        <v>0</v>
      </c>
      <c r="O21" s="186">
        <f>SUMIFS('Plan prihoda za unos u SAP'!$G$3:$G$500,'Plan prihoda za unos u SAP'!$C$3:$C$500,"=563",'Plan prihoda za unos u SAP'!$K$3:$K$500,"=661")</f>
        <v>0</v>
      </c>
      <c r="P21" s="186">
        <f>SUMIFS('Plan prihoda za unos u SAP'!$G$3:$G$500,'Plan prihoda za unos u SAP'!$C$3:$C$500,"=573",'Plan prihoda za unos u SAP'!$K$3:$K$500,"=661")</f>
        <v>0</v>
      </c>
      <c r="Q21" s="186">
        <f>SUMIFS('Plan prihoda za unos u SAP'!$G$3:$G$500,'Plan prihoda za unos u SAP'!$C$3:$C$500,"=575",'Plan prihoda za unos u SAP'!$K$3:$K$500,"=661")</f>
        <v>0</v>
      </c>
      <c r="R21" s="186">
        <f>SUMIFS('Plan prihoda za unos u SAP'!$G$3:$G$500,'Plan prihoda za unos u SAP'!$C$3:$C$500,"=576",'Plan prihoda za unos u SAP'!$K$3:$K$500,"=661")</f>
        <v>0</v>
      </c>
      <c r="S21" s="186">
        <f>SUMIFS('Plan prihoda za unos u SAP'!$G$3:$G$500,'Plan prihoda za unos u SAP'!$C$3:$C$500,"=581",'Plan prihoda za unos u SAP'!$K$3:$K$500,"=661")</f>
        <v>0</v>
      </c>
      <c r="T21" s="186">
        <f>SUMIFS('Plan prihoda za unos u SAP'!$G$3:$G$500,'Plan prihoda za unos u SAP'!$C$3:$C$500,"=61",'Plan prihoda za unos u SAP'!$K$3:$K$500,"=661")</f>
        <v>0</v>
      </c>
      <c r="U21" s="186">
        <f>SUMIFS('Plan prihoda za unos u SAP'!$G$3:$G$500,'Plan prihoda za unos u SAP'!$C$3:$C$500,"=63",'Plan prihoda za unos u SAP'!$K$3:$K$500,"=661")</f>
        <v>0</v>
      </c>
      <c r="V21" s="186">
        <f>SUMIFS('Plan prihoda za unos u SAP'!$G$3:$G$500,'Plan prihoda za unos u SAP'!$C$3:$C$500,"=71",'Plan prihoda za unos u SAP'!$K$3:$K$500,"=661")</f>
        <v>0</v>
      </c>
      <c r="W21" s="186">
        <f>SUMIFS('Plan prihoda za unos u SAP'!$G$3:$G$500,'Plan prihoda za unos u SAP'!$C$3:$C$500,"=81",'Plan prihoda za unos u SAP'!$K$3:$K$500,"=661")</f>
        <v>0</v>
      </c>
    </row>
    <row r="22" spans="1:23" s="90" customFormat="1">
      <c r="A22" s="90">
        <v>2021</v>
      </c>
      <c r="B22" s="95" t="s">
        <v>291</v>
      </c>
      <c r="C22" s="96" t="s">
        <v>292</v>
      </c>
      <c r="D22" s="70">
        <f t="shared" si="0"/>
        <v>125070</v>
      </c>
      <c r="E22" s="186">
        <f>SUMIFS('Plan prihoda za unos u SAP'!$G$3:$G$500,'Plan prihoda za unos u SAP'!$C$3:$C$500,"=11",'Plan prihoda za unos u SAP'!$K$3:$K$500,"=663")</f>
        <v>0</v>
      </c>
      <c r="F22" s="186">
        <f>SUMIFS('Plan prihoda za unos u SAP'!$G$3:$G$500,'Plan prihoda za unos u SAP'!$C$3:$C$500,"=12",'Plan prihoda za unos u SAP'!$K$3:$K$500,"=663")</f>
        <v>0</v>
      </c>
      <c r="G22" s="186">
        <f>SUMIFS('Plan prihoda za unos u SAP'!$G$3:$G$500,'Plan prihoda za unos u SAP'!$C$3:$C$500,"=31",'Plan prihoda za unos u SAP'!$K$3:$K$500,"=663")</f>
        <v>0</v>
      </c>
      <c r="H22" s="186">
        <f>SUMIFS('Plan prihoda za unos u SAP'!$G$3:$G$500,'Plan prihoda za unos u SAP'!$C$3:$C$500,"=41",'Plan prihoda za unos u SAP'!$K$3:$K$500,"=663")</f>
        <v>0</v>
      </c>
      <c r="I22" s="186">
        <f>SUMIFS('Plan prihoda za unos u SAP'!$G$3:$G$500,'Plan prihoda za unos u SAP'!$C$3:$C$500,"=43",'Plan prihoda za unos u SAP'!$K$3:$K$500,"=663")</f>
        <v>0</v>
      </c>
      <c r="J22" s="186">
        <f>SUMIFS('Plan prihoda za unos u SAP'!$G$3:$G$500,'Plan prihoda za unos u SAP'!$C$3:$C$500,"=51",'Plan prihoda za unos u SAP'!$K$3:$K$500,"=663")</f>
        <v>0</v>
      </c>
      <c r="K22" s="186">
        <f>SUMIFS('Plan prihoda za unos u SAP'!$G$3:$G$500,'Plan prihoda za unos u SAP'!$C$3:$C$500,"=52",'Plan prihoda za unos u SAP'!$K$3:$K$500,"=663")</f>
        <v>0</v>
      </c>
      <c r="L22" s="186">
        <f>SUMIFS('Plan prihoda za unos u SAP'!$G$3:$G$500,'Plan prihoda za unos u SAP'!$C$3:$C$500,"=552",'Plan prihoda za unos u SAP'!$K$3:$K$500,"=663")</f>
        <v>0</v>
      </c>
      <c r="M22" s="186">
        <f>SUMIFS('Plan prihoda za unos u SAP'!$G$3:$G$500,'Plan prihoda za unos u SAP'!$C$3:$C$500,"=559",'Plan prihoda za unos u SAP'!$K$3:$K$500,"=663")</f>
        <v>0</v>
      </c>
      <c r="N22" s="186">
        <f>SUMIFS('Plan prihoda za unos u SAP'!$G$3:$G$500,'Plan prihoda za unos u SAP'!$C$3:$C$500,"=561",'Plan prihoda za unos u SAP'!$K$3:$K$500,"=663")</f>
        <v>0</v>
      </c>
      <c r="O22" s="186">
        <f>SUMIFS('Plan prihoda za unos u SAP'!$G$3:$G$500,'Plan prihoda za unos u SAP'!$C$3:$C$500,"=563",'Plan prihoda za unos u SAP'!$K$3:$K$500,"=663")</f>
        <v>0</v>
      </c>
      <c r="P22" s="186">
        <f>SUMIFS('Plan prihoda za unos u SAP'!$G$3:$G$500,'Plan prihoda za unos u SAP'!$C$3:$C$500,"=573",'Plan prihoda za unos u SAP'!$K$3:$K$500,"=663")</f>
        <v>0</v>
      </c>
      <c r="Q22" s="186">
        <f>SUMIFS('Plan prihoda za unos u SAP'!$G$3:$G$500,'Plan prihoda za unos u SAP'!$C$3:$C$500,"=575",'Plan prihoda za unos u SAP'!$K$3:$K$500,"=663")</f>
        <v>0</v>
      </c>
      <c r="R22" s="186">
        <f>SUMIFS('Plan prihoda za unos u SAP'!$G$3:$G$500,'Plan prihoda za unos u SAP'!$C$3:$C$500,"=576",'Plan prihoda za unos u SAP'!$K$3:$K$500,"=663")</f>
        <v>0</v>
      </c>
      <c r="S22" s="186">
        <f>SUMIFS('Plan prihoda za unos u SAP'!$G$3:$G$500,'Plan prihoda za unos u SAP'!$C$3:$C$500,"=581",'Plan prihoda za unos u SAP'!$K$3:$K$500,"=663")</f>
        <v>0</v>
      </c>
      <c r="T22" s="186">
        <f>SUMIFS('Plan prihoda za unos u SAP'!$G$3:$G$500,'Plan prihoda za unos u SAP'!$C$3:$C$500,"=61",'Plan prihoda za unos u SAP'!$K$3:$K$500,"=663")</f>
        <v>125070</v>
      </c>
      <c r="U22" s="186">
        <f>SUMIFS('Plan prihoda za unos u SAP'!$G$3:$G$500,'Plan prihoda za unos u SAP'!$C$3:$C$500,"=63",'Plan prihoda za unos u SAP'!$K$3:$K$500,"=663")</f>
        <v>0</v>
      </c>
      <c r="V22" s="186">
        <f>SUMIFS('Plan prihoda za unos u SAP'!$G$3:$G$500,'Plan prihoda za unos u SAP'!$C$3:$C$500,"=71",'Plan prihoda za unos u SAP'!$K$3:$K$500,"=663")</f>
        <v>0</v>
      </c>
      <c r="W22" s="186">
        <f>SUMIFS('Plan prihoda za unos u SAP'!$G$3:$G$500,'Plan prihoda za unos u SAP'!$C$3:$C$500,"=81",'Plan prihoda za unos u SAP'!$K$3:$K$500,"=663")</f>
        <v>0</v>
      </c>
    </row>
    <row r="23" spans="1:23" s="90" customFormat="1" ht="25.5">
      <c r="A23" s="90">
        <v>2021</v>
      </c>
      <c r="B23" s="95" t="s">
        <v>293</v>
      </c>
      <c r="C23" s="96" t="s">
        <v>254</v>
      </c>
      <c r="D23" s="70">
        <f t="shared" si="0"/>
        <v>135193197.61557513</v>
      </c>
      <c r="E23" s="186">
        <f>SUMIFS('Plan prihoda za unos u SAP'!$G$3:$G$500,'Plan prihoda za unos u SAP'!$C$3:$C$500,"=11",'Plan prihoda za unos u SAP'!$K$3:$K$500,"=671")</f>
        <v>135144532.61557513</v>
      </c>
      <c r="F23" s="186">
        <f>SUMIFS('Plan prihoda za unos u SAP'!$G$3:$G$500,'Plan prihoda za unos u SAP'!$C$3:$C$500,"=12",'Plan prihoda za unos u SAP'!$K$3:$K$500,"=671")</f>
        <v>48665</v>
      </c>
      <c r="G23" s="186">
        <f>SUMIFS('Plan prihoda za unos u SAP'!$G$3:$G$500,'Plan prihoda za unos u SAP'!$C$3:$C$500,"=31",'Plan prihoda za unos u SAP'!$K$3:$K$500,"=671")</f>
        <v>0</v>
      </c>
      <c r="H23" s="186">
        <f>SUMIFS('Plan prihoda za unos u SAP'!$G$3:$G$500,'Plan prihoda za unos u SAP'!$C$3:$C$500,"=41",'Plan prihoda za unos u SAP'!$K$3:$K$500,"=671")</f>
        <v>0</v>
      </c>
      <c r="I23" s="186">
        <f>SUMIFS('Plan prihoda za unos u SAP'!$G$3:$G$500,'Plan prihoda za unos u SAP'!$C$3:$C$500,"=43",'Plan prihoda za unos u SAP'!$K$3:$K$500,"=671")</f>
        <v>0</v>
      </c>
      <c r="J23" s="186">
        <f>SUMIFS('Plan prihoda za unos u SAP'!$G$3:$G$500,'Plan prihoda za unos u SAP'!$C$3:$C$500,"=51",'Plan prihoda za unos u SAP'!$K$3:$K$500,"=671")</f>
        <v>0</v>
      </c>
      <c r="K23" s="186">
        <f>SUMIFS('Plan prihoda za unos u SAP'!$G$3:$G$500,'Plan prihoda za unos u SAP'!$C$3:$C$500,"=52",'Plan prihoda za unos u SAP'!$K$3:$K$500,"=671")</f>
        <v>0</v>
      </c>
      <c r="L23" s="186">
        <f>SUMIFS('Plan prihoda za unos u SAP'!$G$3:$G$500,'Plan prihoda za unos u SAP'!$C$3:$C$500,"=552",'Plan prihoda za unos u SAP'!$K$3:$K$500,"=671")</f>
        <v>0</v>
      </c>
      <c r="M23" s="186">
        <f>SUMIFS('Plan prihoda za unos u SAP'!$G$3:$G$500,'Plan prihoda za unos u SAP'!$C$3:$C$500,"=559",'Plan prihoda za unos u SAP'!$K$3:$K$500,"=671")</f>
        <v>0</v>
      </c>
      <c r="N23" s="186">
        <f>SUMIFS('Plan prihoda za unos u SAP'!$G$3:$G$500,'Plan prihoda za unos u SAP'!$C$3:$C$500,"=561",'Plan prihoda za unos u SAP'!$K$3:$K$500,"=671")</f>
        <v>0</v>
      </c>
      <c r="O23" s="186">
        <f>SUMIFS('Plan prihoda za unos u SAP'!$G$3:$G$500,'Plan prihoda za unos u SAP'!$C$3:$C$500,"=563",'Plan prihoda za unos u SAP'!$K$3:$K$500,"=671")</f>
        <v>0</v>
      </c>
      <c r="P23" s="186">
        <f>SUMIFS('Plan prihoda za unos u SAP'!$G$3:$G$500,'Plan prihoda za unos u SAP'!$C$3:$C$500,"=573",'Plan prihoda za unos u SAP'!$K$3:$K$500,"=671")</f>
        <v>0</v>
      </c>
      <c r="Q23" s="186">
        <f>SUMIFS('Plan prihoda za unos u SAP'!$G$3:$G$500,'Plan prihoda za unos u SAP'!$C$3:$C$500,"=575",'Plan prihoda za unos u SAP'!$K$3:$K$500,"=671")</f>
        <v>0</v>
      </c>
      <c r="R23" s="186">
        <f>SUMIFS('Plan prihoda za unos u SAP'!$G$3:$G$500,'Plan prihoda za unos u SAP'!$C$3:$C$500,"=576",'Plan prihoda za unos u SAP'!$K$3:$K$500,"=671")</f>
        <v>0</v>
      </c>
      <c r="S23" s="186">
        <f>SUMIFS('Plan prihoda za unos u SAP'!$G$3:$G$500,'Plan prihoda za unos u SAP'!$C$3:$C$500,"=581",'Plan prihoda za unos u SAP'!$K$3:$K$500,"=671")</f>
        <v>0</v>
      </c>
      <c r="T23" s="186">
        <f>SUMIFS('Plan prihoda za unos u SAP'!$G$3:$G$500,'Plan prihoda za unos u SAP'!$C$3:$C$500,"=61",'Plan prihoda za unos u SAP'!$K$3:$K$500,"=671")</f>
        <v>0</v>
      </c>
      <c r="U23" s="186">
        <f>SUMIFS('Plan prihoda za unos u SAP'!$G$3:$G$500,'Plan prihoda za unos u SAP'!$C$3:$C$500,"=63",'Plan prihoda za unos u SAP'!$K$3:$K$500,"=671")</f>
        <v>0</v>
      </c>
      <c r="V23" s="186">
        <f>SUMIFS('Plan prihoda za unos u SAP'!$G$3:$G$500,'Plan prihoda za unos u SAP'!$C$3:$C$500,"=71",'Plan prihoda za unos u SAP'!$K$3:$K$500,"=671")</f>
        <v>0</v>
      </c>
      <c r="W23" s="186">
        <f>SUMIFS('Plan prihoda za unos u SAP'!$G$3:$G$500,'Plan prihoda za unos u SAP'!$C$3:$C$500,"=81",'Plan prihoda za unos u SAP'!$K$3:$K$500,"=671")</f>
        <v>0</v>
      </c>
    </row>
    <row r="24" spans="1:23" s="90" customFormat="1">
      <c r="A24" s="90">
        <v>2021</v>
      </c>
      <c r="B24" s="95" t="s">
        <v>294</v>
      </c>
      <c r="C24" s="96" t="s">
        <v>295</v>
      </c>
      <c r="D24" s="70">
        <f t="shared" si="0"/>
        <v>0</v>
      </c>
      <c r="E24" s="186">
        <f>SUMIFS('Plan prihoda za unos u SAP'!$G$3:$G$500,'Plan prihoda za unos u SAP'!$C$3:$C$500,"=11",'Plan prihoda za unos u SAP'!$K$3:$K$500,"=681")</f>
        <v>0</v>
      </c>
      <c r="F24" s="186">
        <f>SUMIFS('Plan prihoda za unos u SAP'!$G$3:$G$500,'Plan prihoda za unos u SAP'!$C$3:$C$500,"=12",'Plan prihoda za unos u SAP'!$K$3:$K$500,"=681")</f>
        <v>0</v>
      </c>
      <c r="G24" s="186">
        <f>SUMIFS('Plan prihoda za unos u SAP'!$G$3:$G$500,'Plan prihoda za unos u SAP'!$C$3:$C$500,"=31",'Plan prihoda za unos u SAP'!$K$3:$K$500,"=681")</f>
        <v>0</v>
      </c>
      <c r="H24" s="186">
        <f>SUMIFS('Plan prihoda za unos u SAP'!$G$3:$G$500,'Plan prihoda za unos u SAP'!$C$3:$C$500,"=41",'Plan prihoda za unos u SAP'!$K$3:$K$500,"=681")</f>
        <v>0</v>
      </c>
      <c r="I24" s="186">
        <f>SUMIFS('Plan prihoda za unos u SAP'!$G$3:$G$500,'Plan prihoda za unos u SAP'!$C$3:$C$500,"=43",'Plan prihoda za unos u SAP'!$K$3:$K$500,"=681")</f>
        <v>0</v>
      </c>
      <c r="J24" s="186">
        <f>SUMIFS('Plan prihoda za unos u SAP'!$G$3:$G$500,'Plan prihoda za unos u SAP'!$C$3:$C$500,"=51",'Plan prihoda za unos u SAP'!$K$3:$K$500,"=681")</f>
        <v>0</v>
      </c>
      <c r="K24" s="186">
        <f>SUMIFS('Plan prihoda za unos u SAP'!$G$3:$G$500,'Plan prihoda za unos u SAP'!$C$3:$C$500,"=52",'Plan prihoda za unos u SAP'!$K$3:$K$500,"=681")</f>
        <v>0</v>
      </c>
      <c r="L24" s="186">
        <f>SUMIFS('Plan prihoda za unos u SAP'!$G$3:$G$500,'Plan prihoda za unos u SAP'!$C$3:$C$500,"=552",'Plan prihoda za unos u SAP'!$K$3:$K$500,"=681")</f>
        <v>0</v>
      </c>
      <c r="M24" s="186">
        <f>SUMIFS('Plan prihoda za unos u SAP'!$G$3:$G$500,'Plan prihoda za unos u SAP'!$C$3:$C$500,"=559",'Plan prihoda za unos u SAP'!$K$3:$K$500,"=681")</f>
        <v>0</v>
      </c>
      <c r="N24" s="186">
        <f>SUMIFS('Plan prihoda za unos u SAP'!$G$3:$G$500,'Plan prihoda za unos u SAP'!$C$3:$C$500,"=561",'Plan prihoda za unos u SAP'!$K$3:$K$500,"=681")</f>
        <v>0</v>
      </c>
      <c r="O24" s="186">
        <f>SUMIFS('Plan prihoda za unos u SAP'!$G$3:$G$500,'Plan prihoda za unos u SAP'!$C$3:$C$500,"=563",'Plan prihoda za unos u SAP'!$K$3:$K$500,"=681")</f>
        <v>0</v>
      </c>
      <c r="P24" s="186">
        <f>SUMIFS('Plan prihoda za unos u SAP'!$G$3:$G$500,'Plan prihoda za unos u SAP'!$C$3:$C$500,"=573",'Plan prihoda za unos u SAP'!$K$3:$K$500,"=681")</f>
        <v>0</v>
      </c>
      <c r="Q24" s="186">
        <f>SUMIFS('Plan prihoda za unos u SAP'!$G$3:$G$500,'Plan prihoda za unos u SAP'!$C$3:$C$500,"=575",'Plan prihoda za unos u SAP'!$K$3:$K$500,"=681")</f>
        <v>0</v>
      </c>
      <c r="R24" s="186">
        <f>SUMIFS('Plan prihoda za unos u SAP'!$G$3:$G$500,'Plan prihoda za unos u SAP'!$C$3:$C$500,"=576",'Plan prihoda za unos u SAP'!$K$3:$K$500,"=681")</f>
        <v>0</v>
      </c>
      <c r="S24" s="186">
        <f>SUMIFS('Plan prihoda za unos u SAP'!$G$3:$G$500,'Plan prihoda za unos u SAP'!$C$3:$C$500,"=581",'Plan prihoda za unos u SAP'!$K$3:$K$500,"=681")</f>
        <v>0</v>
      </c>
      <c r="T24" s="186">
        <f>SUMIFS('Plan prihoda za unos u SAP'!$G$3:$G$500,'Plan prihoda za unos u SAP'!$C$3:$C$500,"=61",'Plan prihoda za unos u SAP'!$K$3:$K$500,"=681")</f>
        <v>0</v>
      </c>
      <c r="U24" s="186">
        <f>SUMIFS('Plan prihoda za unos u SAP'!$G$3:$G$500,'Plan prihoda za unos u SAP'!$C$3:$C$500,"=63",'Plan prihoda za unos u SAP'!$K$3:$K$500,"=681")</f>
        <v>0</v>
      </c>
      <c r="V24" s="186">
        <f>SUMIFS('Plan prihoda za unos u SAP'!$G$3:$G$500,'Plan prihoda za unos u SAP'!$C$3:$C$500,"=71",'Plan prihoda za unos u SAP'!$K$3:$K$500,"=681")</f>
        <v>0</v>
      </c>
      <c r="W24" s="186">
        <f>SUMIFS('Plan prihoda za unos u SAP'!$G$3:$G$500,'Plan prihoda za unos u SAP'!$C$3:$C$500,"=81",'Plan prihoda za unos u SAP'!$K$3:$K$500,"=681")</f>
        <v>0</v>
      </c>
    </row>
    <row r="25" spans="1:23" s="90" customFormat="1">
      <c r="A25" s="90">
        <v>2021</v>
      </c>
      <c r="B25" s="95" t="s">
        <v>296</v>
      </c>
      <c r="C25" s="96" t="s">
        <v>297</v>
      </c>
      <c r="D25" s="70">
        <f t="shared" si="0"/>
        <v>0</v>
      </c>
      <c r="E25" s="186">
        <f>SUMIFS('Plan prihoda za unos u SAP'!$G$3:$G$500,'Plan prihoda za unos u SAP'!$C$3:$C$500,"=11",'Plan prihoda za unos u SAP'!$K$3:$K$500,"=683")</f>
        <v>0</v>
      </c>
      <c r="F25" s="186">
        <f>SUMIFS('Plan prihoda za unos u SAP'!$G$3:$G$500,'Plan prihoda za unos u SAP'!$C$3:$C$500,"=12",'Plan prihoda za unos u SAP'!$K$3:$K$500,"=683")</f>
        <v>0</v>
      </c>
      <c r="G25" s="186">
        <f>SUMIFS('Plan prihoda za unos u SAP'!$G$3:$G$500,'Plan prihoda za unos u SAP'!$C$3:$C$500,"=31",'Plan prihoda za unos u SAP'!$K$3:$K$500,"=683")</f>
        <v>0</v>
      </c>
      <c r="H25" s="186">
        <f>SUMIFS('Plan prihoda za unos u SAP'!$G$3:$G$500,'Plan prihoda za unos u SAP'!$C$3:$C$500,"=41",'Plan prihoda za unos u SAP'!$K$3:$K$500,"=683")</f>
        <v>0</v>
      </c>
      <c r="I25" s="186">
        <f>SUMIFS('Plan prihoda za unos u SAP'!$G$3:$G$500,'Plan prihoda za unos u SAP'!$C$3:$C$500,"=43",'Plan prihoda za unos u SAP'!$K$3:$K$500,"=683")</f>
        <v>0</v>
      </c>
      <c r="J25" s="186">
        <f>SUMIFS('Plan prihoda za unos u SAP'!$G$3:$G$500,'Plan prihoda za unos u SAP'!$C$3:$C$500,"=51",'Plan prihoda za unos u SAP'!$K$3:$K$500,"=683")</f>
        <v>0</v>
      </c>
      <c r="K25" s="186">
        <f>SUMIFS('Plan prihoda za unos u SAP'!$G$3:$G$500,'Plan prihoda za unos u SAP'!$C$3:$C$500,"=52",'Plan prihoda za unos u SAP'!$K$3:$K$500,"=683")</f>
        <v>0</v>
      </c>
      <c r="L25" s="186">
        <f>SUMIFS('Plan prihoda za unos u SAP'!$G$3:$G$500,'Plan prihoda za unos u SAP'!$C$3:$C$500,"=552",'Plan prihoda za unos u SAP'!$K$3:$K$500,"=683")</f>
        <v>0</v>
      </c>
      <c r="M25" s="186">
        <f>SUMIFS('Plan prihoda za unos u SAP'!$G$3:$G$500,'Plan prihoda za unos u SAP'!$C$3:$C$500,"=559",'Plan prihoda za unos u SAP'!$K$3:$K$500,"=683")</f>
        <v>0</v>
      </c>
      <c r="N25" s="186">
        <f>SUMIFS('Plan prihoda za unos u SAP'!$G$3:$G$500,'Plan prihoda za unos u SAP'!$C$3:$C$500,"=561",'Plan prihoda za unos u SAP'!$K$3:$K$500,"=683")</f>
        <v>0</v>
      </c>
      <c r="O25" s="186">
        <f>SUMIFS('Plan prihoda za unos u SAP'!$G$3:$G$500,'Plan prihoda za unos u SAP'!$C$3:$C$500,"=563",'Plan prihoda za unos u SAP'!$K$3:$K$500,"=683")</f>
        <v>0</v>
      </c>
      <c r="P25" s="186">
        <f>SUMIFS('Plan prihoda za unos u SAP'!$G$3:$G$500,'Plan prihoda za unos u SAP'!$C$3:$C$500,"=573",'Plan prihoda za unos u SAP'!$K$3:$K$500,"=683")</f>
        <v>0</v>
      </c>
      <c r="Q25" s="186">
        <f>SUMIFS('Plan prihoda za unos u SAP'!$G$3:$G$500,'Plan prihoda za unos u SAP'!$C$3:$C$500,"=575",'Plan prihoda za unos u SAP'!$K$3:$K$500,"=683")</f>
        <v>0</v>
      </c>
      <c r="R25" s="186">
        <f>SUMIFS('Plan prihoda za unos u SAP'!$G$3:$G$500,'Plan prihoda za unos u SAP'!$C$3:$C$500,"=576",'Plan prihoda za unos u SAP'!$K$3:$K$500,"=683")</f>
        <v>0</v>
      </c>
      <c r="S25" s="186">
        <f>SUMIFS('Plan prihoda za unos u SAP'!$G$3:$G$500,'Plan prihoda za unos u SAP'!$C$3:$C$500,"=581",'Plan prihoda za unos u SAP'!$K$3:$K$500,"=683")</f>
        <v>0</v>
      </c>
      <c r="T25" s="186">
        <f>SUMIFS('Plan prihoda za unos u SAP'!$G$3:$G$500,'Plan prihoda za unos u SAP'!$C$3:$C$500,"=61",'Plan prihoda za unos u SAP'!$K$3:$K$500,"=683")</f>
        <v>0</v>
      </c>
      <c r="U25" s="186">
        <f>SUMIFS('Plan prihoda za unos u SAP'!$G$3:$G$500,'Plan prihoda za unos u SAP'!$C$3:$C$500,"=63",'Plan prihoda za unos u SAP'!$K$3:$K$500,"=683")</f>
        <v>0</v>
      </c>
      <c r="V25" s="186">
        <f>SUMIFS('Plan prihoda za unos u SAP'!$G$3:$G$500,'Plan prihoda za unos u SAP'!$C$3:$C$500,"=71",'Plan prihoda za unos u SAP'!$K$3:$K$500,"=683")</f>
        <v>0</v>
      </c>
      <c r="W25" s="186">
        <f>SUMIFS('Plan prihoda za unos u SAP'!$G$3:$G$500,'Plan prihoda za unos u SAP'!$C$3:$C$500,"=81",'Plan prihoda za unos u SAP'!$K$3:$K$500,"=683")</f>
        <v>0</v>
      </c>
    </row>
    <row r="26" spans="1:23" s="90" customFormat="1">
      <c r="A26" s="90">
        <v>2021</v>
      </c>
      <c r="B26" s="98" t="s">
        <v>298</v>
      </c>
      <c r="C26" s="99" t="s">
        <v>299</v>
      </c>
      <c r="D26" s="70">
        <f t="shared" si="0"/>
        <v>168650192.61557513</v>
      </c>
      <c r="E26" s="4">
        <f t="shared" ref="E26:W26" si="7">SUM(E11:E25)</f>
        <v>135144532.61557513</v>
      </c>
      <c r="F26" s="4">
        <f t="shared" si="7"/>
        <v>48665</v>
      </c>
      <c r="G26" s="4">
        <f t="shared" si="7"/>
        <v>8600000</v>
      </c>
      <c r="H26" s="4">
        <f t="shared" si="7"/>
        <v>0</v>
      </c>
      <c r="I26" s="4">
        <f t="shared" si="7"/>
        <v>15000000</v>
      </c>
      <c r="J26" s="4">
        <f t="shared" si="7"/>
        <v>1673253</v>
      </c>
      <c r="K26" s="4">
        <f t="shared" si="7"/>
        <v>7586902</v>
      </c>
      <c r="L26" s="4">
        <f t="shared" si="7"/>
        <v>0</v>
      </c>
      <c r="M26" s="4">
        <f t="shared" si="7"/>
        <v>0</v>
      </c>
      <c r="N26" s="4">
        <f t="shared" si="7"/>
        <v>275770</v>
      </c>
      <c r="O26" s="4">
        <f t="shared" si="7"/>
        <v>196000</v>
      </c>
      <c r="P26" s="4">
        <f t="shared" si="7"/>
        <v>0</v>
      </c>
      <c r="Q26" s="4">
        <f t="shared" si="7"/>
        <v>0</v>
      </c>
      <c r="R26" s="4">
        <f t="shared" si="7"/>
        <v>0</v>
      </c>
      <c r="S26" s="4">
        <f t="shared" si="7"/>
        <v>0</v>
      </c>
      <c r="T26" s="4">
        <f t="shared" si="7"/>
        <v>125070</v>
      </c>
      <c r="U26" s="4">
        <f t="shared" si="7"/>
        <v>0</v>
      </c>
      <c r="V26" s="4">
        <f t="shared" si="7"/>
        <v>0</v>
      </c>
      <c r="W26" s="4">
        <f t="shared" si="7"/>
        <v>0</v>
      </c>
    </row>
    <row r="27" spans="1:23" s="90" customFormat="1">
      <c r="A27" s="90">
        <v>2021</v>
      </c>
      <c r="B27" s="95" t="s">
        <v>310</v>
      </c>
      <c r="C27" s="100" t="s">
        <v>311</v>
      </c>
      <c r="D27" s="70">
        <f t="shared" si="0"/>
        <v>0</v>
      </c>
      <c r="E27" s="186">
        <f>SUMIFS('Plan prihoda za unos u SAP'!$G$3:$G$500,'Plan prihoda za unos u SAP'!$C$3:$C$500,"=11",'Plan prihoda za unos u SAP'!$K$3:$K$500,"=711")</f>
        <v>0</v>
      </c>
      <c r="F27" s="186">
        <f>SUMIFS('Plan prihoda za unos u SAP'!$G$3:$G$500,'Plan prihoda za unos u SAP'!$C$3:$C$500,"=12",'Plan prihoda za unos u SAP'!$K$3:$K$500,"=711")</f>
        <v>0</v>
      </c>
      <c r="G27" s="186">
        <f>SUMIFS('Plan prihoda za unos u SAP'!$G$3:$G$500,'Plan prihoda za unos u SAP'!$C$3:$C$500,"=31",'Plan prihoda za unos u SAP'!$K$3:$K$500,"=711")</f>
        <v>0</v>
      </c>
      <c r="H27" s="186">
        <f>SUMIFS('Plan prihoda za unos u SAP'!$G$3:$G$500,'Plan prihoda za unos u SAP'!$C$3:$C$500,"=41",'Plan prihoda za unos u SAP'!$K$3:$K$500,"=711")</f>
        <v>0</v>
      </c>
      <c r="I27" s="186">
        <f>SUMIFS('Plan prihoda za unos u SAP'!$G$3:$G$500,'Plan prihoda za unos u SAP'!$C$3:$C$500,"=43",'Plan prihoda za unos u SAP'!$K$3:$K$500,"=711")</f>
        <v>0</v>
      </c>
      <c r="J27" s="186">
        <f>SUMIFS('Plan prihoda za unos u SAP'!$G$3:$G$500,'Plan prihoda za unos u SAP'!$C$3:$C$500,"=51",'Plan prihoda za unos u SAP'!$K$3:$K$500,"=711")</f>
        <v>0</v>
      </c>
      <c r="K27" s="186">
        <f>SUMIFS('Plan prihoda za unos u SAP'!$G$3:$G$500,'Plan prihoda za unos u SAP'!$C$3:$C$500,"=52",'Plan prihoda za unos u SAP'!$K$3:$K$500,"=711")</f>
        <v>0</v>
      </c>
      <c r="L27" s="186">
        <f>SUMIFS('Plan prihoda za unos u SAP'!$G$3:$G$500,'Plan prihoda za unos u SAP'!$C$3:$C$500,"=552",'Plan prihoda za unos u SAP'!$K$3:$K$500,"=711")</f>
        <v>0</v>
      </c>
      <c r="M27" s="186">
        <f>SUMIFS('Plan prihoda za unos u SAP'!$G$3:$G$500,'Plan prihoda za unos u SAP'!$C$3:$C$500,"=559",'Plan prihoda za unos u SAP'!$K$3:$K$500,"=711")</f>
        <v>0</v>
      </c>
      <c r="N27" s="186">
        <f>SUMIFS('Plan prihoda za unos u SAP'!$G$3:$G$500,'Plan prihoda za unos u SAP'!$C$3:$C$500,"=561",'Plan prihoda za unos u SAP'!$K$3:$K$500,"=711")</f>
        <v>0</v>
      </c>
      <c r="O27" s="186">
        <f>SUMIFS('Plan prihoda za unos u SAP'!$G$3:$G$500,'Plan prihoda za unos u SAP'!$C$3:$C$500,"=563",'Plan prihoda za unos u SAP'!$K$3:$K$500,"=711")</f>
        <v>0</v>
      </c>
      <c r="P27" s="186">
        <f>SUMIFS('Plan prihoda za unos u SAP'!$G$3:$G$500,'Plan prihoda za unos u SAP'!$C$3:$C$500,"=573",'Plan prihoda za unos u SAP'!$K$3:$K$500,"=711")</f>
        <v>0</v>
      </c>
      <c r="Q27" s="186">
        <f>SUMIFS('Plan prihoda za unos u SAP'!$G$3:$G$500,'Plan prihoda za unos u SAP'!$C$3:$C$500,"=575",'Plan prihoda za unos u SAP'!$K$3:$K$500,"=711")</f>
        <v>0</v>
      </c>
      <c r="R27" s="186">
        <f>SUMIFS('Plan prihoda za unos u SAP'!$G$3:$G$500,'Plan prihoda za unos u SAP'!$C$3:$C$500,"=576",'Plan prihoda za unos u SAP'!$K$3:$K$500,"=711")</f>
        <v>0</v>
      </c>
      <c r="S27" s="186">
        <f>SUMIFS('Plan prihoda za unos u SAP'!$G$3:$G$500,'Plan prihoda za unos u SAP'!$C$3:$C$500,"=581",'Plan prihoda za unos u SAP'!$K$3:$K$500,"=711")</f>
        <v>0</v>
      </c>
      <c r="T27" s="186">
        <f>SUMIFS('Plan prihoda za unos u SAP'!$G$3:$G$500,'Plan prihoda za unos u SAP'!$C$3:$C$500,"=61",'Plan prihoda za unos u SAP'!$K$3:$K$500,"=711")</f>
        <v>0</v>
      </c>
      <c r="U27" s="186">
        <f>SUMIFS('Plan prihoda za unos u SAP'!$G$3:$G$500,'Plan prihoda za unos u SAP'!$C$3:$C$500,"=63",'Plan prihoda za unos u SAP'!$K$3:$K$500,"=711")</f>
        <v>0</v>
      </c>
      <c r="V27" s="186">
        <f>SUMIFS('Plan prihoda za unos u SAP'!$G$3:$G$500,'Plan prihoda za unos u SAP'!$C$3:$C$500,"=71",'Plan prihoda za unos u SAP'!$K$3:$K$500,"=711")</f>
        <v>0</v>
      </c>
      <c r="W27" s="186">
        <f>SUMIFS('Plan prihoda za unos u SAP'!$G$3:$G$500,'Plan prihoda za unos u SAP'!$C$3:$C$500,"=81",'Plan prihoda za unos u SAP'!$K$3:$K$500,"=711")</f>
        <v>0</v>
      </c>
    </row>
    <row r="28" spans="1:23" s="90" customFormat="1">
      <c r="A28" s="90">
        <v>2021</v>
      </c>
      <c r="B28" s="95" t="s">
        <v>312</v>
      </c>
      <c r="C28" s="100" t="s">
        <v>313</v>
      </c>
      <c r="D28" s="70">
        <f t="shared" si="0"/>
        <v>0</v>
      </c>
      <c r="E28" s="186">
        <f>SUMIFS('Plan prihoda za unos u SAP'!$G$3:$G$500,'Plan prihoda za unos u SAP'!$C$3:$C$500,"=11",'Plan prihoda za unos u SAP'!$K$3:$K$500,"=712")</f>
        <v>0</v>
      </c>
      <c r="F28" s="186">
        <f>SUMIFS('Plan prihoda za unos u SAP'!$G$3:$G$500,'Plan prihoda za unos u SAP'!$C$3:$C$500,"=12",'Plan prihoda za unos u SAP'!$K$3:$K$500,"=712")</f>
        <v>0</v>
      </c>
      <c r="G28" s="186">
        <f>SUMIFS('Plan prihoda za unos u SAP'!$G$3:$G$500,'Plan prihoda za unos u SAP'!$C$3:$C$500,"=31",'Plan prihoda za unos u SAP'!$K$3:$K$500,"=712")</f>
        <v>0</v>
      </c>
      <c r="H28" s="186">
        <f>SUMIFS('Plan prihoda za unos u SAP'!$G$3:$G$500,'Plan prihoda za unos u SAP'!$C$3:$C$500,"=41",'Plan prihoda za unos u SAP'!$K$3:$K$500,"=712")</f>
        <v>0</v>
      </c>
      <c r="I28" s="186">
        <f>SUMIFS('Plan prihoda za unos u SAP'!$G$3:$G$500,'Plan prihoda za unos u SAP'!$C$3:$C$500,"=43",'Plan prihoda za unos u SAP'!$K$3:$K$500,"=712")</f>
        <v>0</v>
      </c>
      <c r="J28" s="186">
        <f>SUMIFS('Plan prihoda za unos u SAP'!$G$3:$G$500,'Plan prihoda za unos u SAP'!$C$3:$C$500,"=51",'Plan prihoda za unos u SAP'!$K$3:$K$500,"=712")</f>
        <v>0</v>
      </c>
      <c r="K28" s="186">
        <f>SUMIFS('Plan prihoda za unos u SAP'!$G$3:$G$500,'Plan prihoda za unos u SAP'!$C$3:$C$500,"=52",'Plan prihoda za unos u SAP'!$K$3:$K$500,"=712")</f>
        <v>0</v>
      </c>
      <c r="L28" s="186">
        <f>SUMIFS('Plan prihoda za unos u SAP'!$G$3:$G$500,'Plan prihoda za unos u SAP'!$C$3:$C$500,"=552",'Plan prihoda za unos u SAP'!$K$3:$K$500,"=712")</f>
        <v>0</v>
      </c>
      <c r="M28" s="186">
        <f>SUMIFS('Plan prihoda za unos u SAP'!$G$3:$G$500,'Plan prihoda za unos u SAP'!$C$3:$C$500,"=559",'Plan prihoda za unos u SAP'!$K$3:$K$500,"=712")</f>
        <v>0</v>
      </c>
      <c r="N28" s="186">
        <f>SUMIFS('Plan prihoda za unos u SAP'!$G$3:$G$500,'Plan prihoda za unos u SAP'!$C$3:$C$500,"=561",'Plan prihoda za unos u SAP'!$K$3:$K$500,"=712")</f>
        <v>0</v>
      </c>
      <c r="O28" s="186">
        <f>SUMIFS('Plan prihoda za unos u SAP'!$G$3:$G$500,'Plan prihoda za unos u SAP'!$C$3:$C$500,"=563",'Plan prihoda za unos u SAP'!$K$3:$K$500,"=712")</f>
        <v>0</v>
      </c>
      <c r="P28" s="186">
        <f>SUMIFS('Plan prihoda za unos u SAP'!$G$3:$G$500,'Plan prihoda za unos u SAP'!$C$3:$C$500,"=573",'Plan prihoda za unos u SAP'!$K$3:$K$500,"=712")</f>
        <v>0</v>
      </c>
      <c r="Q28" s="186">
        <f>SUMIFS('Plan prihoda za unos u SAP'!$G$3:$G$500,'Plan prihoda za unos u SAP'!$C$3:$C$500,"=575",'Plan prihoda za unos u SAP'!$K$3:$K$500,"=712")</f>
        <v>0</v>
      </c>
      <c r="R28" s="186">
        <f>SUMIFS('Plan prihoda za unos u SAP'!$G$3:$G$500,'Plan prihoda za unos u SAP'!$C$3:$C$500,"=576",'Plan prihoda za unos u SAP'!$K$3:$K$500,"=712")</f>
        <v>0</v>
      </c>
      <c r="S28" s="186">
        <f>SUMIFS('Plan prihoda za unos u SAP'!$G$3:$G$500,'Plan prihoda za unos u SAP'!$C$3:$C$500,"=581",'Plan prihoda za unos u SAP'!$K$3:$K$500,"=712")</f>
        <v>0</v>
      </c>
      <c r="T28" s="186">
        <f>SUMIFS('Plan prihoda za unos u SAP'!$G$3:$G$500,'Plan prihoda za unos u SAP'!$C$3:$C$500,"=61",'Plan prihoda za unos u SAP'!$K$3:$K$500,"=712")</f>
        <v>0</v>
      </c>
      <c r="U28" s="186">
        <f>SUMIFS('Plan prihoda za unos u SAP'!$G$3:$G$500,'Plan prihoda za unos u SAP'!$C$3:$C$500,"=63",'Plan prihoda za unos u SAP'!$K$3:$K$500,"=712")</f>
        <v>0</v>
      </c>
      <c r="V28" s="186">
        <f>SUMIFS('Plan prihoda za unos u SAP'!$G$3:$G$500,'Plan prihoda za unos u SAP'!$C$3:$C$500,"=71",'Plan prihoda za unos u SAP'!$K$3:$K$500,"=712")</f>
        <v>0</v>
      </c>
      <c r="W28" s="186">
        <f>SUMIFS('Plan prihoda za unos u SAP'!$G$3:$G$500,'Plan prihoda za unos u SAP'!$C$3:$C$500,"=81",'Plan prihoda za unos u SAP'!$K$3:$K$500,"=712")</f>
        <v>0</v>
      </c>
    </row>
    <row r="29" spans="1:23" s="90" customFormat="1">
      <c r="A29" s="90">
        <v>2021</v>
      </c>
      <c r="B29" s="95" t="s">
        <v>300</v>
      </c>
      <c r="C29" s="100" t="s">
        <v>301</v>
      </c>
      <c r="D29" s="70">
        <f t="shared" si="0"/>
        <v>30000</v>
      </c>
      <c r="E29" s="186">
        <f>SUMIFS('Plan prihoda za unos u SAP'!$G$3:$G$500,'Plan prihoda za unos u SAP'!$C$3:$C$500,"=11",'Plan prihoda za unos u SAP'!$K$3:$K$500,"=721")</f>
        <v>0</v>
      </c>
      <c r="F29" s="186">
        <f>SUMIFS('Plan prihoda za unos u SAP'!$G$3:$G$500,'Plan prihoda za unos u SAP'!$C$3:$C$500,"=12",'Plan prihoda za unos u SAP'!$K$3:$K$500,"=721")</f>
        <v>0</v>
      </c>
      <c r="G29" s="186">
        <f>SUMIFS('Plan prihoda za unos u SAP'!$G$3:$G$500,'Plan prihoda za unos u SAP'!$C$3:$C$500,"=31",'Plan prihoda za unos u SAP'!$K$3:$K$500,"=721")</f>
        <v>0</v>
      </c>
      <c r="H29" s="186">
        <f>SUMIFS('Plan prihoda za unos u SAP'!$G$3:$G$500,'Plan prihoda za unos u SAP'!$C$3:$C$500,"=41",'Plan prihoda za unos u SAP'!$K$3:$K$500,"=721")</f>
        <v>0</v>
      </c>
      <c r="I29" s="186">
        <f>SUMIFS('Plan prihoda za unos u SAP'!$G$3:$G$500,'Plan prihoda za unos u SAP'!$C$3:$C$500,"=43",'Plan prihoda za unos u SAP'!$K$3:$K$500,"=721")</f>
        <v>0</v>
      </c>
      <c r="J29" s="186">
        <f>SUMIFS('Plan prihoda za unos u SAP'!$G$3:$G$500,'Plan prihoda za unos u SAP'!$C$3:$C$500,"=51",'Plan prihoda za unos u SAP'!$K$3:$K$500,"=721")</f>
        <v>0</v>
      </c>
      <c r="K29" s="186">
        <f>SUMIFS('Plan prihoda za unos u SAP'!$G$3:$G$500,'Plan prihoda za unos u SAP'!$C$3:$C$500,"=52",'Plan prihoda za unos u SAP'!$K$3:$K$500,"=721")</f>
        <v>0</v>
      </c>
      <c r="L29" s="186">
        <f>SUMIFS('Plan prihoda za unos u SAP'!$G$3:$G$500,'Plan prihoda za unos u SAP'!$C$3:$C$500,"=552",'Plan prihoda za unos u SAP'!$K$3:$K$500,"=721")</f>
        <v>0</v>
      </c>
      <c r="M29" s="186">
        <f>SUMIFS('Plan prihoda za unos u SAP'!$G$3:$G$500,'Plan prihoda za unos u SAP'!$C$3:$C$500,"=559",'Plan prihoda za unos u SAP'!$K$3:$K$500,"=721")</f>
        <v>0</v>
      </c>
      <c r="N29" s="186">
        <f>SUMIFS('Plan prihoda za unos u SAP'!$G$3:$G$500,'Plan prihoda za unos u SAP'!$C$3:$C$500,"=561",'Plan prihoda za unos u SAP'!$K$3:$K$500,"=721")</f>
        <v>0</v>
      </c>
      <c r="O29" s="186">
        <f>SUMIFS('Plan prihoda za unos u SAP'!$G$3:$G$500,'Plan prihoda za unos u SAP'!$C$3:$C$500,"=563",'Plan prihoda za unos u SAP'!$K$3:$K$500,"=721")</f>
        <v>0</v>
      </c>
      <c r="P29" s="186">
        <f>SUMIFS('Plan prihoda za unos u SAP'!$G$3:$G$500,'Plan prihoda za unos u SAP'!$C$3:$C$500,"=573",'Plan prihoda za unos u SAP'!$K$3:$K$500,"=721")</f>
        <v>0</v>
      </c>
      <c r="Q29" s="186">
        <f>SUMIFS('Plan prihoda za unos u SAP'!$G$3:$G$500,'Plan prihoda za unos u SAP'!$C$3:$C$500,"=575",'Plan prihoda za unos u SAP'!$K$3:$K$500,"=721")</f>
        <v>0</v>
      </c>
      <c r="R29" s="186">
        <f>SUMIFS('Plan prihoda za unos u SAP'!$G$3:$G$500,'Plan prihoda za unos u SAP'!$C$3:$C$500,"=576",'Plan prihoda za unos u SAP'!$K$3:$K$500,"=721")</f>
        <v>0</v>
      </c>
      <c r="S29" s="186">
        <f>SUMIFS('Plan prihoda za unos u SAP'!$G$3:$G$500,'Plan prihoda za unos u SAP'!$C$3:$C$500,"=581",'Plan prihoda za unos u SAP'!$K$3:$K$500,"=721")</f>
        <v>0</v>
      </c>
      <c r="T29" s="186">
        <f>SUMIFS('Plan prihoda za unos u SAP'!$G$3:$G$500,'Plan prihoda za unos u SAP'!$C$3:$C$500,"=61",'Plan prihoda za unos u SAP'!$K$3:$K$500,"=721")</f>
        <v>0</v>
      </c>
      <c r="U29" s="186">
        <f>SUMIFS('Plan prihoda za unos u SAP'!$G$3:$G$500,'Plan prihoda za unos u SAP'!$C$3:$C$500,"=63",'Plan prihoda za unos u SAP'!$K$3:$K$500,"=721")</f>
        <v>0</v>
      </c>
      <c r="V29" s="186">
        <f>SUMIFS('Plan prihoda za unos u SAP'!$G$3:$G$500,'Plan prihoda za unos u SAP'!$C$3:$C$500,"=71",'Plan prihoda za unos u SAP'!$K$3:$K$500,"=721")</f>
        <v>30000</v>
      </c>
      <c r="W29" s="186">
        <f>SUMIFS('Plan prihoda za unos u SAP'!$G$3:$G$500,'Plan prihoda za unos u SAP'!$C$3:$C$500,"=81",'Plan prihoda za unos u SAP'!$K$3:$K$500,"=721")</f>
        <v>0</v>
      </c>
    </row>
    <row r="30" spans="1:23" s="90" customFormat="1">
      <c r="A30" s="90">
        <v>2021</v>
      </c>
      <c r="B30" s="95" t="s">
        <v>302</v>
      </c>
      <c r="C30" s="100" t="s">
        <v>303</v>
      </c>
      <c r="D30" s="70">
        <f t="shared" si="0"/>
        <v>0</v>
      </c>
      <c r="E30" s="186">
        <f>SUMIFS('Plan prihoda za unos u SAP'!$G$3:$G$500,'Plan prihoda za unos u SAP'!$C$3:$C$500,"=11",'Plan prihoda za unos u SAP'!$K$3:$K$500,"=722")</f>
        <v>0</v>
      </c>
      <c r="F30" s="186">
        <f>SUMIFS('Plan prihoda za unos u SAP'!$G$3:$G$500,'Plan prihoda za unos u SAP'!$C$3:$C$500,"=12",'Plan prihoda za unos u SAP'!$K$3:$K$500,"=722")</f>
        <v>0</v>
      </c>
      <c r="G30" s="186">
        <f>SUMIFS('Plan prihoda za unos u SAP'!$G$3:$G$500,'Plan prihoda za unos u SAP'!$C$3:$C$500,"=31",'Plan prihoda za unos u SAP'!$K$3:$K$500,"=722")</f>
        <v>0</v>
      </c>
      <c r="H30" s="186">
        <f>SUMIFS('Plan prihoda za unos u SAP'!$G$3:$G$500,'Plan prihoda za unos u SAP'!$C$3:$C$500,"=41",'Plan prihoda za unos u SAP'!$K$3:$K$500,"=722")</f>
        <v>0</v>
      </c>
      <c r="I30" s="186">
        <f>SUMIFS('Plan prihoda za unos u SAP'!$G$3:$G$500,'Plan prihoda za unos u SAP'!$C$3:$C$500,"=43",'Plan prihoda za unos u SAP'!$K$3:$K$500,"=722")</f>
        <v>0</v>
      </c>
      <c r="J30" s="186">
        <f>SUMIFS('Plan prihoda za unos u SAP'!$G$3:$G$500,'Plan prihoda za unos u SAP'!$C$3:$C$500,"=51",'Plan prihoda za unos u SAP'!$K$3:$K$500,"=722")</f>
        <v>0</v>
      </c>
      <c r="K30" s="186">
        <f>SUMIFS('Plan prihoda za unos u SAP'!$G$3:$G$500,'Plan prihoda za unos u SAP'!$C$3:$C$500,"=52",'Plan prihoda za unos u SAP'!$K$3:$K$500,"=722")</f>
        <v>0</v>
      </c>
      <c r="L30" s="186">
        <f>SUMIFS('Plan prihoda za unos u SAP'!$G$3:$G$500,'Plan prihoda za unos u SAP'!$C$3:$C$500,"=552",'Plan prihoda za unos u SAP'!$K$3:$K$500,"=722")</f>
        <v>0</v>
      </c>
      <c r="M30" s="186">
        <f>SUMIFS('Plan prihoda za unos u SAP'!$G$3:$G$500,'Plan prihoda za unos u SAP'!$C$3:$C$500,"=559",'Plan prihoda za unos u SAP'!$K$3:$K$500,"=722")</f>
        <v>0</v>
      </c>
      <c r="N30" s="186">
        <f>SUMIFS('Plan prihoda za unos u SAP'!$G$3:$G$500,'Plan prihoda za unos u SAP'!$C$3:$C$500,"=561",'Plan prihoda za unos u SAP'!$K$3:$K$500,"=722")</f>
        <v>0</v>
      </c>
      <c r="O30" s="186">
        <f>SUMIFS('Plan prihoda za unos u SAP'!$G$3:$G$500,'Plan prihoda za unos u SAP'!$C$3:$C$500,"=563",'Plan prihoda za unos u SAP'!$K$3:$K$500,"=722")</f>
        <v>0</v>
      </c>
      <c r="P30" s="186">
        <f>SUMIFS('Plan prihoda za unos u SAP'!$G$3:$G$500,'Plan prihoda za unos u SAP'!$C$3:$C$500,"=573",'Plan prihoda za unos u SAP'!$K$3:$K$500,"=722")</f>
        <v>0</v>
      </c>
      <c r="Q30" s="186">
        <f>SUMIFS('Plan prihoda za unos u SAP'!$G$3:$G$500,'Plan prihoda za unos u SAP'!$C$3:$C$500,"=575",'Plan prihoda za unos u SAP'!$K$3:$K$500,"=722")</f>
        <v>0</v>
      </c>
      <c r="R30" s="186">
        <f>SUMIFS('Plan prihoda za unos u SAP'!$G$3:$G$500,'Plan prihoda za unos u SAP'!$C$3:$C$500,"=576",'Plan prihoda za unos u SAP'!$K$3:$K$500,"=722")</f>
        <v>0</v>
      </c>
      <c r="S30" s="186">
        <f>SUMIFS('Plan prihoda za unos u SAP'!$G$3:$G$500,'Plan prihoda za unos u SAP'!$C$3:$C$500,"=581",'Plan prihoda za unos u SAP'!$K$3:$K$500,"=722")</f>
        <v>0</v>
      </c>
      <c r="T30" s="186">
        <f>SUMIFS('Plan prihoda za unos u SAP'!$G$3:$G$500,'Plan prihoda za unos u SAP'!$C$3:$C$500,"=61",'Plan prihoda za unos u SAP'!$K$3:$K$500,"=722")</f>
        <v>0</v>
      </c>
      <c r="U30" s="186">
        <f>SUMIFS('Plan prihoda za unos u SAP'!$G$3:$G$500,'Plan prihoda za unos u SAP'!$C$3:$C$500,"=63",'Plan prihoda za unos u SAP'!$K$3:$K$500,"=722")</f>
        <v>0</v>
      </c>
      <c r="V30" s="186">
        <f>SUMIFS('Plan prihoda za unos u SAP'!$G$3:$G$500,'Plan prihoda za unos u SAP'!$C$3:$C$500,"=71",'Plan prihoda za unos u SAP'!$K$3:$K$500,"=722")</f>
        <v>0</v>
      </c>
      <c r="W30" s="186">
        <f>SUMIFS('Plan prihoda za unos u SAP'!$G$3:$G$500,'Plan prihoda za unos u SAP'!$C$3:$C$500,"=81",'Plan prihoda za unos u SAP'!$K$3:$K$500,"=722")</f>
        <v>0</v>
      </c>
    </row>
    <row r="31" spans="1:23" s="90" customFormat="1">
      <c r="A31" s="90">
        <v>2021</v>
      </c>
      <c r="B31" s="95" t="s">
        <v>304</v>
      </c>
      <c r="C31" s="100" t="s">
        <v>305</v>
      </c>
      <c r="D31" s="70">
        <f t="shared" si="0"/>
        <v>10000</v>
      </c>
      <c r="E31" s="186">
        <f>SUMIFS('Plan prihoda za unos u SAP'!$G$3:$G$500,'Plan prihoda za unos u SAP'!$C$3:$C$500,"=11",'Plan prihoda za unos u SAP'!$K$3:$K$500,"=723")</f>
        <v>0</v>
      </c>
      <c r="F31" s="186">
        <f>SUMIFS('Plan prihoda za unos u SAP'!$G$3:$G$500,'Plan prihoda za unos u SAP'!$C$3:$C$500,"=12",'Plan prihoda za unos u SAP'!$K$3:$K$500,"=723")</f>
        <v>0</v>
      </c>
      <c r="G31" s="186">
        <f>SUMIFS('Plan prihoda za unos u SAP'!$G$3:$G$500,'Plan prihoda za unos u SAP'!$C$3:$C$500,"=31",'Plan prihoda za unos u SAP'!$K$3:$K$500,"=723")</f>
        <v>0</v>
      </c>
      <c r="H31" s="186">
        <f>SUMIFS('Plan prihoda za unos u SAP'!$G$3:$G$500,'Plan prihoda za unos u SAP'!$C$3:$C$500,"=41",'Plan prihoda za unos u SAP'!$K$3:$K$500,"=723")</f>
        <v>0</v>
      </c>
      <c r="I31" s="186">
        <f>SUMIFS('Plan prihoda za unos u SAP'!$G$3:$G$500,'Plan prihoda za unos u SAP'!$C$3:$C$500,"=43",'Plan prihoda za unos u SAP'!$K$3:$K$500,"=723")</f>
        <v>0</v>
      </c>
      <c r="J31" s="186">
        <f>SUMIFS('Plan prihoda za unos u SAP'!$G$3:$G$500,'Plan prihoda za unos u SAP'!$C$3:$C$500,"=51",'Plan prihoda za unos u SAP'!$K$3:$K$500,"=723")</f>
        <v>0</v>
      </c>
      <c r="K31" s="186">
        <f>SUMIFS('Plan prihoda za unos u SAP'!$G$3:$G$500,'Plan prihoda za unos u SAP'!$C$3:$C$500,"=52",'Plan prihoda za unos u SAP'!$K$3:$K$500,"=723")</f>
        <v>0</v>
      </c>
      <c r="L31" s="186">
        <f>SUMIFS('Plan prihoda za unos u SAP'!$G$3:$G$500,'Plan prihoda za unos u SAP'!$C$3:$C$500,"=552",'Plan prihoda za unos u SAP'!$K$3:$K$500,"=723")</f>
        <v>0</v>
      </c>
      <c r="M31" s="186">
        <f>SUMIFS('Plan prihoda za unos u SAP'!$G$3:$G$500,'Plan prihoda za unos u SAP'!$C$3:$C$500,"=559",'Plan prihoda za unos u SAP'!$K$3:$K$500,"=723")</f>
        <v>0</v>
      </c>
      <c r="N31" s="186">
        <f>SUMIFS('Plan prihoda za unos u SAP'!$G$3:$G$500,'Plan prihoda za unos u SAP'!$C$3:$C$500,"=561",'Plan prihoda za unos u SAP'!$K$3:$K$500,"=723")</f>
        <v>0</v>
      </c>
      <c r="O31" s="186">
        <f>SUMIFS('Plan prihoda za unos u SAP'!$G$3:$G$500,'Plan prihoda za unos u SAP'!$C$3:$C$500,"=563",'Plan prihoda za unos u SAP'!$K$3:$K$500,"=723")</f>
        <v>0</v>
      </c>
      <c r="P31" s="186">
        <f>SUMIFS('Plan prihoda za unos u SAP'!$G$3:$G$500,'Plan prihoda za unos u SAP'!$C$3:$C$500,"=573",'Plan prihoda za unos u SAP'!$K$3:$K$500,"=723")</f>
        <v>0</v>
      </c>
      <c r="Q31" s="186">
        <f>SUMIFS('Plan prihoda za unos u SAP'!$G$3:$G$500,'Plan prihoda za unos u SAP'!$C$3:$C$500,"=575",'Plan prihoda za unos u SAP'!$K$3:$K$500,"=723")</f>
        <v>0</v>
      </c>
      <c r="R31" s="186">
        <f>SUMIFS('Plan prihoda za unos u SAP'!$G$3:$G$500,'Plan prihoda za unos u SAP'!$C$3:$C$500,"=576",'Plan prihoda za unos u SAP'!$K$3:$K$500,"=723")</f>
        <v>0</v>
      </c>
      <c r="S31" s="186">
        <f>SUMIFS('Plan prihoda za unos u SAP'!$G$3:$G$500,'Plan prihoda za unos u SAP'!$C$3:$C$500,"=581",'Plan prihoda za unos u SAP'!$K$3:$K$500,"=723")</f>
        <v>0</v>
      </c>
      <c r="T31" s="186">
        <f>SUMIFS('Plan prihoda za unos u SAP'!$G$3:$G$500,'Plan prihoda za unos u SAP'!$C$3:$C$500,"=61",'Plan prihoda za unos u SAP'!$K$3:$K$500,"=723")</f>
        <v>0</v>
      </c>
      <c r="U31" s="186">
        <f>SUMIFS('Plan prihoda za unos u SAP'!$G$3:$G$500,'Plan prihoda za unos u SAP'!$C$3:$C$500,"=63",'Plan prihoda za unos u SAP'!$K$3:$K$500,"=723")</f>
        <v>0</v>
      </c>
      <c r="V31" s="186">
        <f>SUMIFS('Plan prihoda za unos u SAP'!$G$3:$G$500,'Plan prihoda za unos u SAP'!$C$3:$C$500,"=71",'Plan prihoda za unos u SAP'!$K$3:$K$500,"=723")</f>
        <v>10000</v>
      </c>
      <c r="W31" s="186">
        <f>SUMIFS('Plan prihoda za unos u SAP'!$G$3:$G$500,'Plan prihoda za unos u SAP'!$C$3:$C$500,"=81",'Plan prihoda za unos u SAP'!$K$3:$K$500,"=723")</f>
        <v>0</v>
      </c>
    </row>
    <row r="32" spans="1:23" s="90" customFormat="1">
      <c r="A32" s="90">
        <v>2021</v>
      </c>
      <c r="B32" s="95" t="s">
        <v>314</v>
      </c>
      <c r="C32" s="100" t="s">
        <v>315</v>
      </c>
      <c r="D32" s="70">
        <f t="shared" si="0"/>
        <v>0</v>
      </c>
      <c r="E32" s="186">
        <f>SUMIFS('Plan prihoda za unos u SAP'!$G$3:$G$500,'Plan prihoda za unos u SAP'!$C$3:$C$500,"=11",'Plan prihoda za unos u SAP'!$K$3:$K$500,"=725")</f>
        <v>0</v>
      </c>
      <c r="F32" s="186">
        <f>SUMIFS('Plan prihoda za unos u SAP'!$G$3:$G$500,'Plan prihoda za unos u SAP'!$C$3:$C$500,"=12",'Plan prihoda za unos u SAP'!$K$3:$K$500,"=725")</f>
        <v>0</v>
      </c>
      <c r="G32" s="186">
        <f>SUMIFS('Plan prihoda za unos u SAP'!$G$3:$G$500,'Plan prihoda za unos u SAP'!$C$3:$C$500,"=31",'Plan prihoda za unos u SAP'!$K$3:$K$500,"=725")</f>
        <v>0</v>
      </c>
      <c r="H32" s="186">
        <f>SUMIFS('Plan prihoda za unos u SAP'!$G$3:$G$500,'Plan prihoda za unos u SAP'!$C$3:$C$500,"=41",'Plan prihoda za unos u SAP'!$K$3:$K$500,"=725")</f>
        <v>0</v>
      </c>
      <c r="I32" s="186">
        <f>SUMIFS('Plan prihoda za unos u SAP'!$G$3:$G$500,'Plan prihoda za unos u SAP'!$C$3:$C$500,"=43",'Plan prihoda za unos u SAP'!$K$3:$K$500,"=725")</f>
        <v>0</v>
      </c>
      <c r="J32" s="186">
        <f>SUMIFS('Plan prihoda za unos u SAP'!$G$3:$G$500,'Plan prihoda za unos u SAP'!$C$3:$C$500,"=51",'Plan prihoda za unos u SAP'!$K$3:$K$500,"=725")</f>
        <v>0</v>
      </c>
      <c r="K32" s="186">
        <f>SUMIFS('Plan prihoda za unos u SAP'!$G$3:$G$500,'Plan prihoda za unos u SAP'!$C$3:$C$500,"=52",'Plan prihoda za unos u SAP'!$K$3:$K$500,"=725")</f>
        <v>0</v>
      </c>
      <c r="L32" s="186">
        <f>SUMIFS('Plan prihoda za unos u SAP'!$G$3:$G$500,'Plan prihoda za unos u SAP'!$C$3:$C$500,"=552",'Plan prihoda za unos u SAP'!$K$3:$K$500,"=725")</f>
        <v>0</v>
      </c>
      <c r="M32" s="186">
        <f>SUMIFS('Plan prihoda za unos u SAP'!$G$3:$G$500,'Plan prihoda za unos u SAP'!$C$3:$C$500,"=559",'Plan prihoda za unos u SAP'!$K$3:$K$500,"=725")</f>
        <v>0</v>
      </c>
      <c r="N32" s="186">
        <f>SUMIFS('Plan prihoda za unos u SAP'!$G$3:$G$500,'Plan prihoda za unos u SAP'!$C$3:$C$500,"=561",'Plan prihoda za unos u SAP'!$K$3:$K$500,"=725")</f>
        <v>0</v>
      </c>
      <c r="O32" s="186">
        <f>SUMIFS('Plan prihoda za unos u SAP'!$G$3:$G$500,'Plan prihoda za unos u SAP'!$C$3:$C$500,"=563",'Plan prihoda za unos u SAP'!$K$3:$K$500,"=725")</f>
        <v>0</v>
      </c>
      <c r="P32" s="186">
        <f>SUMIFS('Plan prihoda za unos u SAP'!$G$3:$G$500,'Plan prihoda za unos u SAP'!$C$3:$C$500,"=573",'Plan prihoda za unos u SAP'!$K$3:$K$500,"=725")</f>
        <v>0</v>
      </c>
      <c r="Q32" s="186">
        <f>SUMIFS('Plan prihoda za unos u SAP'!$G$3:$G$500,'Plan prihoda za unos u SAP'!$C$3:$C$500,"=575",'Plan prihoda za unos u SAP'!$K$3:$K$500,"=725")</f>
        <v>0</v>
      </c>
      <c r="R32" s="186">
        <f>SUMIFS('Plan prihoda za unos u SAP'!$G$3:$G$500,'Plan prihoda za unos u SAP'!$C$3:$C$500,"=576",'Plan prihoda za unos u SAP'!$K$3:$K$500,"=725")</f>
        <v>0</v>
      </c>
      <c r="S32" s="186">
        <f>SUMIFS('Plan prihoda za unos u SAP'!$G$3:$G$500,'Plan prihoda za unos u SAP'!$C$3:$C$500,"=581",'Plan prihoda za unos u SAP'!$K$3:$K$500,"=725")</f>
        <v>0</v>
      </c>
      <c r="T32" s="186">
        <f>SUMIFS('Plan prihoda za unos u SAP'!$G$3:$G$500,'Plan prihoda za unos u SAP'!$C$3:$C$500,"=61",'Plan prihoda za unos u SAP'!$K$3:$K$500,"=725")</f>
        <v>0</v>
      </c>
      <c r="U32" s="186">
        <f>SUMIFS('Plan prihoda za unos u SAP'!$G$3:$G$500,'Plan prihoda za unos u SAP'!$C$3:$C$500,"=63",'Plan prihoda za unos u SAP'!$K$3:$K$500,"=725")</f>
        <v>0</v>
      </c>
      <c r="V32" s="186">
        <f>SUMIFS('Plan prihoda za unos u SAP'!$G$3:$G$500,'Plan prihoda za unos u SAP'!$C$3:$C$500,"=71",'Plan prihoda za unos u SAP'!$K$3:$K$500,"=725")</f>
        <v>0</v>
      </c>
      <c r="W32" s="186">
        <f>SUMIFS('Plan prihoda za unos u SAP'!$G$3:$G$500,'Plan prihoda za unos u SAP'!$C$3:$C$500,"=81",'Plan prihoda za unos u SAP'!$K$3:$K$500,"=725")</f>
        <v>0</v>
      </c>
    </row>
    <row r="33" spans="1:29" s="90" customFormat="1">
      <c r="A33" s="90">
        <v>2021</v>
      </c>
      <c r="B33" s="98" t="s">
        <v>306</v>
      </c>
      <c r="C33" s="99" t="s">
        <v>299</v>
      </c>
      <c r="D33" s="70">
        <f t="shared" si="0"/>
        <v>40000</v>
      </c>
      <c r="E33" s="4">
        <f t="shared" ref="E33:W33" si="8">SUM(E27:E32)</f>
        <v>0</v>
      </c>
      <c r="F33" s="4">
        <f t="shared" si="8"/>
        <v>0</v>
      </c>
      <c r="G33" s="4">
        <f t="shared" si="8"/>
        <v>0</v>
      </c>
      <c r="H33" s="4">
        <f>SUM(H27:H32)</f>
        <v>0</v>
      </c>
      <c r="I33" s="4">
        <f t="shared" si="8"/>
        <v>0</v>
      </c>
      <c r="J33" s="4">
        <f t="shared" si="8"/>
        <v>0</v>
      </c>
      <c r="K33" s="4">
        <f t="shared" si="8"/>
        <v>0</v>
      </c>
      <c r="L33" s="4">
        <f>SUM(L27:L32)</f>
        <v>0</v>
      </c>
      <c r="M33" s="4">
        <f t="shared" si="8"/>
        <v>0</v>
      </c>
      <c r="N33" s="4">
        <f t="shared" si="8"/>
        <v>0</v>
      </c>
      <c r="O33" s="4">
        <f t="shared" si="8"/>
        <v>0</v>
      </c>
      <c r="P33" s="4">
        <f>SUM(P27:P32)</f>
        <v>0</v>
      </c>
      <c r="Q33" s="4">
        <f>SUM(Q27:Q32)</f>
        <v>0</v>
      </c>
      <c r="R33" s="4">
        <f>SUM(R27:R32)</f>
        <v>0</v>
      </c>
      <c r="S33" s="4">
        <f>SUM(S27:S32)</f>
        <v>0</v>
      </c>
      <c r="T33" s="4">
        <f t="shared" si="8"/>
        <v>0</v>
      </c>
      <c r="U33" s="4">
        <f t="shared" si="8"/>
        <v>0</v>
      </c>
      <c r="V33" s="4">
        <f t="shared" si="8"/>
        <v>40000</v>
      </c>
      <c r="W33" s="4">
        <f t="shared" si="8"/>
        <v>0</v>
      </c>
    </row>
    <row r="34" spans="1:29" s="90" customFormat="1">
      <c r="A34" s="90">
        <v>2021</v>
      </c>
      <c r="B34" s="101">
        <v>832</v>
      </c>
      <c r="C34" s="102" t="s">
        <v>1375</v>
      </c>
      <c r="D34" s="70">
        <f t="shared" si="0"/>
        <v>0</v>
      </c>
      <c r="E34" s="186">
        <f>SUMIFS('Plan prihoda za unos u SAP'!$G$3:$G$500,'Plan prihoda za unos u SAP'!$C$3:$C$500,"=11",'Plan prihoda za unos u SAP'!$K$3:$K$500,"=832")</f>
        <v>0</v>
      </c>
      <c r="F34" s="186">
        <f>SUMIFS('Plan prihoda za unos u SAP'!$G$3:$G$500,'Plan prihoda za unos u SAP'!$C$3:$C$500,"=12",'Plan prihoda za unos u SAP'!$K$3:$K$500,"=832")</f>
        <v>0</v>
      </c>
      <c r="G34" s="186">
        <f>SUMIFS('Plan prihoda za unos u SAP'!$G$3:$G$500,'Plan prihoda za unos u SAP'!$C$3:$C$500,"=31",'Plan prihoda za unos u SAP'!$K$3:$K$500,"=832")</f>
        <v>0</v>
      </c>
      <c r="H34" s="186">
        <f>SUMIFS('Plan prihoda za unos u SAP'!$G$3:$G$500,'Plan prihoda za unos u SAP'!$C$3:$C$500,"=41",'Plan prihoda za unos u SAP'!$K$3:$K$500,"=832")</f>
        <v>0</v>
      </c>
      <c r="I34" s="186">
        <f>SUMIFS('Plan prihoda za unos u SAP'!$G$3:$G$500,'Plan prihoda za unos u SAP'!$C$3:$C$500,"=43",'Plan prihoda za unos u SAP'!$K$3:$K$500,"=832")</f>
        <v>0</v>
      </c>
      <c r="J34" s="186">
        <f>SUMIFS('Plan prihoda za unos u SAP'!$G$3:$G$500,'Plan prihoda za unos u SAP'!$C$3:$C$500,"=51",'Plan prihoda za unos u SAP'!$K$3:$K$500,"=832")</f>
        <v>0</v>
      </c>
      <c r="K34" s="186">
        <f>SUMIFS('Plan prihoda za unos u SAP'!$G$3:$G$500,'Plan prihoda za unos u SAP'!$C$3:$C$500,"=52",'Plan prihoda za unos u SAP'!$K$3:$K$500,"=832")</f>
        <v>0</v>
      </c>
      <c r="L34" s="186">
        <f>SUMIFS('Plan prihoda za unos u SAP'!$G$3:$G$500,'Plan prihoda za unos u SAP'!$C$3:$C$500,"=552",'Plan prihoda za unos u SAP'!$K$3:$K$500,"=832")</f>
        <v>0</v>
      </c>
      <c r="M34" s="186">
        <f>SUMIFS('Plan prihoda za unos u SAP'!$G$3:$G$500,'Plan prihoda za unos u SAP'!$C$3:$C$500,"=559",'Plan prihoda za unos u SAP'!$K$3:$K$500,"=832")</f>
        <v>0</v>
      </c>
      <c r="N34" s="186">
        <f>SUMIFS('Plan prihoda za unos u SAP'!$G$3:$G$500,'Plan prihoda za unos u SAP'!$C$3:$C$500,"=561",'Plan prihoda za unos u SAP'!$K$3:$K$500,"=832")</f>
        <v>0</v>
      </c>
      <c r="O34" s="186">
        <f>SUMIFS('Plan prihoda za unos u SAP'!$G$3:$G$500,'Plan prihoda za unos u SAP'!$C$3:$C$500,"=563",'Plan prihoda za unos u SAP'!$K$3:$K$500,"=832")</f>
        <v>0</v>
      </c>
      <c r="P34" s="186">
        <f>SUMIFS('Plan prihoda za unos u SAP'!$G$3:$G$500,'Plan prihoda za unos u SAP'!$C$3:$C$500,"=573",'Plan prihoda za unos u SAP'!$K$3:$K$500,"=832")</f>
        <v>0</v>
      </c>
      <c r="Q34" s="186">
        <f>SUMIFS('Plan prihoda za unos u SAP'!$G$3:$G$500,'Plan prihoda za unos u SAP'!$C$3:$C$500,"=575",'Plan prihoda za unos u SAP'!$K$3:$K$500,"=832")</f>
        <v>0</v>
      </c>
      <c r="R34" s="186">
        <f>SUMIFS('Plan prihoda za unos u SAP'!$G$3:$G$500,'Plan prihoda za unos u SAP'!$C$3:$C$500,"=576",'Plan prihoda za unos u SAP'!$K$3:$K$500,"=832")</f>
        <v>0</v>
      </c>
      <c r="S34" s="186">
        <f>SUMIFS('Plan prihoda za unos u SAP'!$G$3:$G$500,'Plan prihoda za unos u SAP'!$C$3:$C$500,"=581",'Plan prihoda za unos u SAP'!$K$3:$K$500,"=832")</f>
        <v>0</v>
      </c>
      <c r="T34" s="186">
        <f>SUMIFS('Plan prihoda za unos u SAP'!$G$3:$G$500,'Plan prihoda za unos u SAP'!$C$3:$C$500,"=61",'Plan prihoda za unos u SAP'!$K$3:$K$500,"=832")</f>
        <v>0</v>
      </c>
      <c r="U34" s="186">
        <f>SUMIFS('Plan prihoda za unos u SAP'!$G$3:$G$500,'Plan prihoda za unos u SAP'!$C$3:$C$500,"=63",'Plan prihoda za unos u SAP'!$K$3:$K$500,"=832")</f>
        <v>0</v>
      </c>
      <c r="V34" s="186">
        <f>SUMIFS('Plan prihoda za unos u SAP'!$G$3:$G$500,'Plan prihoda za unos u SAP'!$C$3:$C$500,"=71",'Plan prihoda za unos u SAP'!$K$3:$K$500,"=832")</f>
        <v>0</v>
      </c>
      <c r="W34" s="186">
        <f>SUMIFS('Plan prihoda za unos u SAP'!$G$3:$G$500,'Plan prihoda za unos u SAP'!$C$3:$C$500,"=81",'Plan prihoda za unos u SAP'!$K$3:$K$500,"=832")</f>
        <v>0</v>
      </c>
    </row>
    <row r="35" spans="1:29" s="90" customFormat="1" ht="25.5">
      <c r="A35" s="90">
        <v>2021</v>
      </c>
      <c r="B35" s="234">
        <v>833</v>
      </c>
      <c r="C35" s="102" t="s">
        <v>1904</v>
      </c>
      <c r="D35" s="70">
        <f t="shared" si="0"/>
        <v>0</v>
      </c>
      <c r="E35" s="186">
        <f>SUMIFS('Plan prihoda za unos u SAP'!$G$3:$G$500,'Plan prihoda za unos u SAP'!$C$3:$C$500,"=11",'Plan prihoda za unos u SAP'!$K$3:$K$500,"=833")</f>
        <v>0</v>
      </c>
      <c r="F35" s="186">
        <f>SUMIFS('Plan prihoda za unos u SAP'!$G$3:$G$500,'Plan prihoda za unos u SAP'!$C$3:$C$500,"=12",'Plan prihoda za unos u SAP'!$K$3:$K$500,"=833")</f>
        <v>0</v>
      </c>
      <c r="G35" s="186">
        <f>SUMIFS('Plan prihoda za unos u SAP'!$G$3:$G$500,'Plan prihoda za unos u SAP'!$C$3:$C$500,"=31",'Plan prihoda za unos u SAP'!$K$3:$K$500,"=833")</f>
        <v>0</v>
      </c>
      <c r="H35" s="186">
        <f>SUMIFS('Plan prihoda za unos u SAP'!$G$3:$G$500,'Plan prihoda za unos u SAP'!$C$3:$C$500,"=41",'Plan prihoda za unos u SAP'!$K$3:$K$500,"=833")</f>
        <v>0</v>
      </c>
      <c r="I35" s="186">
        <f>SUMIFS('Plan prihoda za unos u SAP'!$G$3:$G$500,'Plan prihoda za unos u SAP'!$C$3:$C$500,"=43",'Plan prihoda za unos u SAP'!$K$3:$K$500,"=833")</f>
        <v>0</v>
      </c>
      <c r="J35" s="186">
        <f>SUMIFS('Plan prihoda za unos u SAP'!$G$3:$G$500,'Plan prihoda za unos u SAP'!$C$3:$C$500,"=51",'Plan prihoda za unos u SAP'!$K$3:$K$500,"=833")</f>
        <v>0</v>
      </c>
      <c r="K35" s="186">
        <f>SUMIFS('Plan prihoda za unos u SAP'!$G$3:$G$500,'Plan prihoda za unos u SAP'!$C$3:$C$500,"=52",'Plan prihoda za unos u SAP'!$K$3:$K$500,"=833")</f>
        <v>0</v>
      </c>
      <c r="L35" s="186">
        <f>SUMIFS('Plan prihoda za unos u SAP'!$G$3:$G$500,'Plan prihoda za unos u SAP'!$C$3:$C$500,"=552",'Plan prihoda za unos u SAP'!$K$3:$K$500,"=833")</f>
        <v>0</v>
      </c>
      <c r="M35" s="186">
        <f>SUMIFS('Plan prihoda za unos u SAP'!$G$3:$G$500,'Plan prihoda za unos u SAP'!$C$3:$C$500,"=559",'Plan prihoda za unos u SAP'!$K$3:$K$500,"=833")</f>
        <v>0</v>
      </c>
      <c r="N35" s="186">
        <f>SUMIFS('Plan prihoda za unos u SAP'!$G$3:$G$500,'Plan prihoda za unos u SAP'!$C$3:$C$500,"=561",'Plan prihoda za unos u SAP'!$K$3:$K$500,"=833")</f>
        <v>0</v>
      </c>
      <c r="O35" s="186">
        <f>SUMIFS('Plan prihoda za unos u SAP'!$G$3:$G$500,'Plan prihoda za unos u SAP'!$C$3:$C$500,"=563",'Plan prihoda za unos u SAP'!$K$3:$K$500,"=833")</f>
        <v>0</v>
      </c>
      <c r="P35" s="186">
        <f>SUMIFS('Plan prihoda za unos u SAP'!$G$3:$G$500,'Plan prihoda za unos u SAP'!$C$3:$C$500,"=573",'Plan prihoda za unos u SAP'!$K$3:$K$500,"=833")</f>
        <v>0</v>
      </c>
      <c r="Q35" s="186">
        <f>SUMIFS('Plan prihoda za unos u SAP'!$G$3:$G$500,'Plan prihoda za unos u SAP'!$C$3:$C$500,"=575",'Plan prihoda za unos u SAP'!$K$3:$K$500,"=833")</f>
        <v>0</v>
      </c>
      <c r="R35" s="186">
        <f>SUMIFS('Plan prihoda za unos u SAP'!$G$3:$G$500,'Plan prihoda za unos u SAP'!$C$3:$C$500,"=576",'Plan prihoda za unos u SAP'!$K$3:$K$500,"=833")</f>
        <v>0</v>
      </c>
      <c r="S35" s="186">
        <f>SUMIFS('Plan prihoda za unos u SAP'!$G$3:$G$500,'Plan prihoda za unos u SAP'!$C$3:$C$500,"=581",'Plan prihoda za unos u SAP'!$K$3:$K$500,"=833")</f>
        <v>0</v>
      </c>
      <c r="T35" s="186">
        <f>SUMIFS('Plan prihoda za unos u SAP'!$G$3:$G$500,'Plan prihoda za unos u SAP'!$C$3:$C$500,"=61",'Plan prihoda za unos u SAP'!$K$3:$K$500,"=833")</f>
        <v>0</v>
      </c>
      <c r="U35" s="186">
        <f>SUMIFS('Plan prihoda za unos u SAP'!$G$3:$G$500,'Plan prihoda za unos u SAP'!$C$3:$C$500,"=63",'Plan prihoda za unos u SAP'!$K$3:$K$500,"=833")</f>
        <v>0</v>
      </c>
      <c r="V35" s="186">
        <f>SUMIFS('Plan prihoda za unos u SAP'!$G$3:$G$500,'Plan prihoda za unos u SAP'!$C$3:$C$500,"=71",'Plan prihoda za unos u SAP'!$K$3:$K$500,"=833")</f>
        <v>0</v>
      </c>
      <c r="W35" s="186">
        <f>SUMIFS('Plan prihoda za unos u SAP'!$G$3:$G$500,'Plan prihoda za unos u SAP'!$C$3:$C$500,"=81",'Plan prihoda za unos u SAP'!$K$3:$K$500,"=833")</f>
        <v>0</v>
      </c>
    </row>
    <row r="36" spans="1:29" s="90" customFormat="1" ht="25.5">
      <c r="A36" s="90">
        <v>2021</v>
      </c>
      <c r="B36" s="101">
        <v>841</v>
      </c>
      <c r="C36" s="102" t="s">
        <v>1376</v>
      </c>
      <c r="D36" s="70">
        <f t="shared" si="0"/>
        <v>0</v>
      </c>
      <c r="E36" s="186">
        <f>SUMIFS('Plan prihoda za unos u SAP'!$G$3:$G$500,'Plan prihoda za unos u SAP'!$C$3:$C$500,"=11",'Plan prihoda za unos u SAP'!$K$3:$K$500,"=841")</f>
        <v>0</v>
      </c>
      <c r="F36" s="186">
        <f>SUMIFS('Plan prihoda za unos u SAP'!$G$3:$G$500,'Plan prihoda za unos u SAP'!$C$3:$C$500,"=12",'Plan prihoda za unos u SAP'!$K$3:$K$500,"=841")</f>
        <v>0</v>
      </c>
      <c r="G36" s="186">
        <f>SUMIFS('Plan prihoda za unos u SAP'!$G$3:$G$500,'Plan prihoda za unos u SAP'!$C$3:$C$500,"=31",'Plan prihoda za unos u SAP'!$K$3:$K$500,"=841")</f>
        <v>0</v>
      </c>
      <c r="H36" s="186">
        <f>SUMIFS('Plan prihoda za unos u SAP'!$G$3:$G$500,'Plan prihoda za unos u SAP'!$C$3:$C$500,"=41",'Plan prihoda za unos u SAP'!$K$3:$K$500,"=841")</f>
        <v>0</v>
      </c>
      <c r="I36" s="186">
        <f>SUMIFS('Plan prihoda za unos u SAP'!$G$3:$G$500,'Plan prihoda za unos u SAP'!$C$3:$C$500,"=43",'Plan prihoda za unos u SAP'!$K$3:$K$500,"=841")</f>
        <v>0</v>
      </c>
      <c r="J36" s="186">
        <f>SUMIFS('Plan prihoda za unos u SAP'!$G$3:$G$500,'Plan prihoda za unos u SAP'!$C$3:$C$500,"=51",'Plan prihoda za unos u SAP'!$K$3:$K$500,"=841")</f>
        <v>0</v>
      </c>
      <c r="K36" s="186">
        <f>SUMIFS('Plan prihoda za unos u SAP'!$G$3:$G$500,'Plan prihoda za unos u SAP'!$C$3:$C$500,"=52",'Plan prihoda za unos u SAP'!$K$3:$K$500,"=841")</f>
        <v>0</v>
      </c>
      <c r="L36" s="186">
        <f>SUMIFS('Plan prihoda za unos u SAP'!$G$3:$G$500,'Plan prihoda za unos u SAP'!$C$3:$C$500,"=552",'Plan prihoda za unos u SAP'!$K$3:$K$500,"=841")</f>
        <v>0</v>
      </c>
      <c r="M36" s="186">
        <f>SUMIFS('Plan prihoda za unos u SAP'!$G$3:$G$500,'Plan prihoda za unos u SAP'!$C$3:$C$500,"=559",'Plan prihoda za unos u SAP'!$K$3:$K$500,"=841")</f>
        <v>0</v>
      </c>
      <c r="N36" s="186">
        <f>SUMIFS('Plan prihoda za unos u SAP'!$G$3:$G$500,'Plan prihoda za unos u SAP'!$C$3:$C$500,"=561",'Plan prihoda za unos u SAP'!$K$3:$K$500,"=841")</f>
        <v>0</v>
      </c>
      <c r="O36" s="186">
        <f>SUMIFS('Plan prihoda za unos u SAP'!$G$3:$G$500,'Plan prihoda za unos u SAP'!$C$3:$C$500,"=563",'Plan prihoda za unos u SAP'!$K$3:$K$500,"=841")</f>
        <v>0</v>
      </c>
      <c r="P36" s="186">
        <f>SUMIFS('Plan prihoda za unos u SAP'!$G$3:$G$500,'Plan prihoda za unos u SAP'!$C$3:$C$500,"=573",'Plan prihoda za unos u SAP'!$K$3:$K$500,"=841")</f>
        <v>0</v>
      </c>
      <c r="Q36" s="186">
        <f>SUMIFS('Plan prihoda za unos u SAP'!$G$3:$G$500,'Plan prihoda za unos u SAP'!$C$3:$C$500,"=575",'Plan prihoda za unos u SAP'!$K$3:$K$500,"=841")</f>
        <v>0</v>
      </c>
      <c r="R36" s="186">
        <f>SUMIFS('Plan prihoda za unos u SAP'!$G$3:$G$500,'Plan prihoda za unos u SAP'!$C$3:$C$500,"=576",'Plan prihoda za unos u SAP'!$K$3:$K$500,"=841")</f>
        <v>0</v>
      </c>
      <c r="S36" s="186">
        <f>SUMIFS('Plan prihoda za unos u SAP'!$G$3:$G$500,'Plan prihoda za unos u SAP'!$C$3:$C$500,"=581",'Plan prihoda za unos u SAP'!$K$3:$K$500,"=841")</f>
        <v>0</v>
      </c>
      <c r="T36" s="186">
        <f>SUMIFS('Plan prihoda za unos u SAP'!$G$3:$G$500,'Plan prihoda za unos u SAP'!$C$3:$C$500,"=61",'Plan prihoda za unos u SAP'!$K$3:$K$500,"=841")</f>
        <v>0</v>
      </c>
      <c r="U36" s="186">
        <f>SUMIFS('Plan prihoda za unos u SAP'!$G$3:$G$500,'Plan prihoda za unos u SAP'!$C$3:$C$500,"=63",'Plan prihoda za unos u SAP'!$K$3:$K$500,"=841")</f>
        <v>0</v>
      </c>
      <c r="V36" s="186">
        <f>SUMIFS('Plan prihoda za unos u SAP'!$G$3:$G$500,'Plan prihoda za unos u SAP'!$C$3:$C$500,"=71",'Plan prihoda za unos u SAP'!$K$3:$K$500,"=841")</f>
        <v>0</v>
      </c>
      <c r="W36" s="186">
        <f>SUMIFS('Plan prihoda za unos u SAP'!$G$3:$G$500,'Plan prihoda za unos u SAP'!$C$3:$C$500,"=81",'Plan prihoda za unos u SAP'!$K$3:$K$500,"=841")</f>
        <v>0</v>
      </c>
    </row>
    <row r="37" spans="1:29" s="90" customFormat="1" ht="25.5">
      <c r="A37" s="90">
        <v>2021</v>
      </c>
      <c r="B37" s="101">
        <v>842</v>
      </c>
      <c r="C37" s="102" t="s">
        <v>316</v>
      </c>
      <c r="D37" s="70">
        <f t="shared" si="0"/>
        <v>0</v>
      </c>
      <c r="E37" s="186">
        <f>SUMIFS('Plan prihoda za unos u SAP'!$G$3:$G$500,'Plan prihoda za unos u SAP'!$C$3:$C$500,"=11",'Plan prihoda za unos u SAP'!$K$3:$K$500,"=842")</f>
        <v>0</v>
      </c>
      <c r="F37" s="186">
        <f>SUMIFS('Plan prihoda za unos u SAP'!$G$3:$G$500,'Plan prihoda za unos u SAP'!$C$3:$C$500,"=12",'Plan prihoda za unos u SAP'!$K$3:$K$500,"=842")</f>
        <v>0</v>
      </c>
      <c r="G37" s="186">
        <f>SUMIFS('Plan prihoda za unos u SAP'!$G$3:$G$500,'Plan prihoda za unos u SAP'!$C$3:$C$500,"=31",'Plan prihoda za unos u SAP'!$K$3:$K$500,"=842")</f>
        <v>0</v>
      </c>
      <c r="H37" s="186">
        <f>SUMIFS('Plan prihoda za unos u SAP'!$G$3:$G$500,'Plan prihoda za unos u SAP'!$C$3:$C$500,"=41",'Plan prihoda za unos u SAP'!$K$3:$K$500,"=842")</f>
        <v>0</v>
      </c>
      <c r="I37" s="186">
        <f>SUMIFS('Plan prihoda za unos u SAP'!$G$3:$G$500,'Plan prihoda za unos u SAP'!$C$3:$C$500,"=43",'Plan prihoda za unos u SAP'!$K$3:$K$500,"=842")</f>
        <v>0</v>
      </c>
      <c r="J37" s="186">
        <f>SUMIFS('Plan prihoda za unos u SAP'!$G$3:$G$500,'Plan prihoda za unos u SAP'!$C$3:$C$500,"=51",'Plan prihoda za unos u SAP'!$K$3:$K$500,"=842")</f>
        <v>0</v>
      </c>
      <c r="K37" s="186">
        <f>SUMIFS('Plan prihoda za unos u SAP'!$G$3:$G$500,'Plan prihoda za unos u SAP'!$C$3:$C$500,"=52",'Plan prihoda za unos u SAP'!$K$3:$K$500,"=842")</f>
        <v>0</v>
      </c>
      <c r="L37" s="186">
        <f>SUMIFS('Plan prihoda za unos u SAP'!$G$3:$G$500,'Plan prihoda za unos u SAP'!$C$3:$C$500,"=552",'Plan prihoda za unos u SAP'!$K$3:$K$500,"=842")</f>
        <v>0</v>
      </c>
      <c r="M37" s="186">
        <f>SUMIFS('Plan prihoda za unos u SAP'!$G$3:$G$500,'Plan prihoda za unos u SAP'!$C$3:$C$500,"=559",'Plan prihoda za unos u SAP'!$K$3:$K$500,"=842")</f>
        <v>0</v>
      </c>
      <c r="N37" s="186">
        <f>SUMIFS('Plan prihoda za unos u SAP'!$G$3:$G$500,'Plan prihoda za unos u SAP'!$C$3:$C$500,"=561",'Plan prihoda za unos u SAP'!$K$3:$K$500,"=842")</f>
        <v>0</v>
      </c>
      <c r="O37" s="186">
        <f>SUMIFS('Plan prihoda za unos u SAP'!$G$3:$G$500,'Plan prihoda za unos u SAP'!$C$3:$C$500,"=563",'Plan prihoda za unos u SAP'!$K$3:$K$500,"=842")</f>
        <v>0</v>
      </c>
      <c r="P37" s="186">
        <f>SUMIFS('Plan prihoda za unos u SAP'!$G$3:$G$500,'Plan prihoda za unos u SAP'!$C$3:$C$500,"=573",'Plan prihoda za unos u SAP'!$K$3:$K$500,"=842")</f>
        <v>0</v>
      </c>
      <c r="Q37" s="186">
        <f>SUMIFS('Plan prihoda za unos u SAP'!$G$3:$G$500,'Plan prihoda za unos u SAP'!$C$3:$C$500,"=575",'Plan prihoda za unos u SAP'!$K$3:$K$500,"=842")</f>
        <v>0</v>
      </c>
      <c r="R37" s="186">
        <f>SUMIFS('Plan prihoda za unos u SAP'!$G$3:$G$500,'Plan prihoda za unos u SAP'!$C$3:$C$500,"=576",'Plan prihoda za unos u SAP'!$K$3:$K$500,"=842")</f>
        <v>0</v>
      </c>
      <c r="S37" s="186">
        <f>SUMIFS('Plan prihoda za unos u SAP'!$G$3:$G$500,'Plan prihoda za unos u SAP'!$C$3:$C$500,"=581",'Plan prihoda za unos u SAP'!$K$3:$K$500,"=842")</f>
        <v>0</v>
      </c>
      <c r="T37" s="186">
        <f>SUMIFS('Plan prihoda za unos u SAP'!$G$3:$G$500,'Plan prihoda za unos u SAP'!$C$3:$C$500,"=61",'Plan prihoda za unos u SAP'!$K$3:$K$500,"=842")</f>
        <v>0</v>
      </c>
      <c r="U37" s="186">
        <f>SUMIFS('Plan prihoda za unos u SAP'!$G$3:$G$500,'Plan prihoda za unos u SAP'!$C$3:$C$500,"=63",'Plan prihoda za unos u SAP'!$K$3:$K$500,"=842")</f>
        <v>0</v>
      </c>
      <c r="V37" s="186">
        <f>SUMIFS('Plan prihoda za unos u SAP'!$G$3:$G$500,'Plan prihoda za unos u SAP'!$C$3:$C$500,"=71",'Plan prihoda za unos u SAP'!$K$3:$K$500,"=842")</f>
        <v>0</v>
      </c>
      <c r="W37" s="186">
        <f>SUMIFS('Plan prihoda za unos u SAP'!$G$3:$G$500,'Plan prihoda za unos u SAP'!$C$3:$C$500,"=81",'Plan prihoda za unos u SAP'!$K$3:$K$500,"=842")</f>
        <v>0</v>
      </c>
    </row>
    <row r="38" spans="1:29" s="90" customFormat="1">
      <c r="A38" s="90">
        <v>2021</v>
      </c>
      <c r="B38" s="98" t="s">
        <v>307</v>
      </c>
      <c r="C38" s="99" t="s">
        <v>299</v>
      </c>
      <c r="D38" s="70">
        <f t="shared" si="0"/>
        <v>0</v>
      </c>
      <c r="E38" s="4">
        <f t="shared" ref="E38:W38" si="9">SUM(E34:E37)</f>
        <v>0</v>
      </c>
      <c r="F38" s="4">
        <f t="shared" si="9"/>
        <v>0</v>
      </c>
      <c r="G38" s="4">
        <f t="shared" si="9"/>
        <v>0</v>
      </c>
      <c r="H38" s="4">
        <f t="shared" si="9"/>
        <v>0</v>
      </c>
      <c r="I38" s="4">
        <f t="shared" si="9"/>
        <v>0</v>
      </c>
      <c r="J38" s="4">
        <f t="shared" si="9"/>
        <v>0</v>
      </c>
      <c r="K38" s="4">
        <f t="shared" si="9"/>
        <v>0</v>
      </c>
      <c r="L38" s="4">
        <f t="shared" si="9"/>
        <v>0</v>
      </c>
      <c r="M38" s="4">
        <f t="shared" si="9"/>
        <v>0</v>
      </c>
      <c r="N38" s="4">
        <f t="shared" si="9"/>
        <v>0</v>
      </c>
      <c r="O38" s="4">
        <f t="shared" si="9"/>
        <v>0</v>
      </c>
      <c r="P38" s="4">
        <f t="shared" si="9"/>
        <v>0</v>
      </c>
      <c r="Q38" s="4">
        <f t="shared" si="9"/>
        <v>0</v>
      </c>
      <c r="R38" s="4">
        <f t="shared" si="9"/>
        <v>0</v>
      </c>
      <c r="S38" s="4">
        <f t="shared" si="9"/>
        <v>0</v>
      </c>
      <c r="T38" s="4">
        <f t="shared" si="9"/>
        <v>0</v>
      </c>
      <c r="U38" s="4">
        <f t="shared" si="9"/>
        <v>0</v>
      </c>
      <c r="V38" s="4">
        <f t="shared" si="9"/>
        <v>0</v>
      </c>
      <c r="W38" s="4">
        <f t="shared" si="9"/>
        <v>0</v>
      </c>
    </row>
    <row r="39" spans="1:29" s="90" customFormat="1" ht="12.75" customHeight="1">
      <c r="A39" s="90">
        <v>2021</v>
      </c>
      <c r="B39" s="252" t="s">
        <v>308</v>
      </c>
      <c r="C39" s="252"/>
      <c r="D39" s="70">
        <f t="shared" si="0"/>
        <v>168690192.61557513</v>
      </c>
      <c r="E39" s="71">
        <f t="shared" ref="E39:W39" si="10">+E38+E33+E26</f>
        <v>135144532.61557513</v>
      </c>
      <c r="F39" s="71">
        <f t="shared" si="10"/>
        <v>48665</v>
      </c>
      <c r="G39" s="71">
        <f t="shared" si="10"/>
        <v>8600000</v>
      </c>
      <c r="H39" s="71">
        <f t="shared" si="10"/>
        <v>0</v>
      </c>
      <c r="I39" s="71">
        <f t="shared" si="10"/>
        <v>15000000</v>
      </c>
      <c r="J39" s="71">
        <f t="shared" si="10"/>
        <v>1673253</v>
      </c>
      <c r="K39" s="71">
        <f t="shared" si="10"/>
        <v>7586902</v>
      </c>
      <c r="L39" s="71">
        <f t="shared" si="10"/>
        <v>0</v>
      </c>
      <c r="M39" s="71">
        <f t="shared" si="10"/>
        <v>0</v>
      </c>
      <c r="N39" s="71">
        <f t="shared" si="10"/>
        <v>275770</v>
      </c>
      <c r="O39" s="71">
        <f t="shared" si="10"/>
        <v>196000</v>
      </c>
      <c r="P39" s="71">
        <f t="shared" si="10"/>
        <v>0</v>
      </c>
      <c r="Q39" s="71">
        <f t="shared" si="10"/>
        <v>0</v>
      </c>
      <c r="R39" s="71">
        <f t="shared" si="10"/>
        <v>0</v>
      </c>
      <c r="S39" s="71">
        <f t="shared" si="10"/>
        <v>0</v>
      </c>
      <c r="T39" s="71">
        <f t="shared" si="10"/>
        <v>125070</v>
      </c>
      <c r="U39" s="71">
        <f t="shared" si="10"/>
        <v>0</v>
      </c>
      <c r="V39" s="71">
        <f t="shared" si="10"/>
        <v>40000</v>
      </c>
      <c r="W39" s="71">
        <f t="shared" si="10"/>
        <v>0</v>
      </c>
    </row>
    <row r="40" spans="1:29">
      <c r="B40" s="62"/>
      <c r="C40" s="62"/>
      <c r="D40" s="62"/>
      <c r="E40" s="62"/>
      <c r="F40" s="62"/>
      <c r="G40" s="62"/>
      <c r="H40" s="62"/>
      <c r="I40" s="103"/>
      <c r="J40" s="104"/>
      <c r="K40" s="104"/>
      <c r="L40" s="104"/>
      <c r="M40" s="104"/>
      <c r="N40" s="104"/>
      <c r="O40" s="104"/>
      <c r="P40" s="104"/>
      <c r="Q40" s="104"/>
      <c r="R40" s="104"/>
      <c r="S40" s="91"/>
      <c r="W40" s="91"/>
    </row>
    <row r="41" spans="1:29" s="90" customFormat="1" ht="15.75">
      <c r="B41" s="275" t="s">
        <v>262</v>
      </c>
      <c r="C41" s="276"/>
      <c r="D41" s="277" t="s">
        <v>3486</v>
      </c>
      <c r="E41" s="278"/>
      <c r="F41" s="278"/>
      <c r="G41" s="278"/>
      <c r="H41" s="278"/>
      <c r="I41" s="278"/>
      <c r="J41" s="278"/>
      <c r="K41" s="278"/>
      <c r="L41" s="278"/>
      <c r="M41" s="278"/>
      <c r="N41" s="278"/>
      <c r="O41" s="278"/>
      <c r="P41" s="278"/>
      <c r="Q41" s="278"/>
      <c r="R41" s="278"/>
      <c r="S41" s="278"/>
      <c r="T41" s="278"/>
      <c r="U41" s="279"/>
      <c r="V41" s="204"/>
      <c r="W41" s="204"/>
    </row>
    <row r="42" spans="1:29" s="90" customFormat="1" ht="89.25">
      <c r="A42" s="92" t="s">
        <v>1906</v>
      </c>
      <c r="B42" s="92" t="s">
        <v>263</v>
      </c>
      <c r="C42" s="92" t="s">
        <v>264</v>
      </c>
      <c r="D42" s="252" t="s">
        <v>265</v>
      </c>
      <c r="E42" s="205" t="s">
        <v>345</v>
      </c>
      <c r="F42" s="205" t="s">
        <v>317</v>
      </c>
      <c r="G42" s="206" t="s">
        <v>19</v>
      </c>
      <c r="H42" s="206" t="s">
        <v>1367</v>
      </c>
      <c r="I42" s="206" t="s">
        <v>20</v>
      </c>
      <c r="J42" s="206" t="s">
        <v>266</v>
      </c>
      <c r="K42" s="206" t="s">
        <v>267</v>
      </c>
      <c r="L42" s="206" t="s">
        <v>1368</v>
      </c>
      <c r="M42" s="206" t="s">
        <v>268</v>
      </c>
      <c r="N42" s="206" t="s">
        <v>269</v>
      </c>
      <c r="O42" s="206" t="s">
        <v>270</v>
      </c>
      <c r="P42" s="206" t="s">
        <v>1369</v>
      </c>
      <c r="Q42" s="206" t="s">
        <v>1370</v>
      </c>
      <c r="R42" s="206" t="s">
        <v>1902</v>
      </c>
      <c r="S42" s="93" t="s">
        <v>3479</v>
      </c>
      <c r="T42" s="206" t="s">
        <v>271</v>
      </c>
      <c r="U42" s="93" t="s">
        <v>272</v>
      </c>
      <c r="V42" s="93" t="s">
        <v>309</v>
      </c>
      <c r="W42" s="93" t="s">
        <v>1343</v>
      </c>
    </row>
    <row r="43" spans="1:29" s="90" customFormat="1">
      <c r="A43" s="90">
        <v>2022</v>
      </c>
      <c r="B43" s="95"/>
      <c r="C43" s="96" t="s">
        <v>11</v>
      </c>
      <c r="D43" s="70">
        <f t="shared" ref="D43:D79" si="11">SUM(E43:W43)</f>
        <v>40186515</v>
      </c>
      <c r="E43" s="185"/>
      <c r="F43" s="185">
        <f t="shared" ref="F43:W43" si="12">-F7</f>
        <v>0</v>
      </c>
      <c r="G43" s="185">
        <v>8608756</v>
      </c>
      <c r="H43" s="185">
        <f t="shared" si="12"/>
        <v>0</v>
      </c>
      <c r="I43" s="185">
        <v>15489003</v>
      </c>
      <c r="J43" s="185">
        <v>3455198</v>
      </c>
      <c r="K43" s="185">
        <v>11546359</v>
      </c>
      <c r="L43" s="185">
        <f t="shared" si="12"/>
        <v>0</v>
      </c>
      <c r="M43" s="185">
        <f t="shared" si="12"/>
        <v>0</v>
      </c>
      <c r="N43" s="185">
        <f t="shared" si="12"/>
        <v>0</v>
      </c>
      <c r="O43" s="185">
        <f t="shared" si="12"/>
        <v>0</v>
      </c>
      <c r="P43" s="185">
        <f t="shared" si="12"/>
        <v>0</v>
      </c>
      <c r="Q43" s="185">
        <f t="shared" si="12"/>
        <v>0</v>
      </c>
      <c r="R43" s="185">
        <f t="shared" si="12"/>
        <v>0</v>
      </c>
      <c r="S43" s="185">
        <f t="shared" si="12"/>
        <v>0</v>
      </c>
      <c r="T43" s="185">
        <v>858385</v>
      </c>
      <c r="U43" s="185">
        <f t="shared" si="12"/>
        <v>0</v>
      </c>
      <c r="V43" s="185">
        <v>228814</v>
      </c>
      <c r="W43" s="185">
        <f t="shared" si="12"/>
        <v>0</v>
      </c>
      <c r="X43" s="94"/>
      <c r="Y43" s="94"/>
      <c r="Z43" s="94"/>
      <c r="AA43" s="94"/>
      <c r="AB43" s="94"/>
      <c r="AC43" s="94"/>
    </row>
    <row r="44" spans="1:29" s="90" customFormat="1">
      <c r="A44" s="90">
        <v>2022</v>
      </c>
      <c r="B44" s="114"/>
      <c r="C44" s="115" t="s">
        <v>341</v>
      </c>
      <c r="D44" s="70">
        <f t="shared" si="11"/>
        <v>205674302</v>
      </c>
      <c r="E44" s="14">
        <f t="shared" ref="E44:W44" si="13">+E65+E72</f>
        <v>142712312</v>
      </c>
      <c r="F44" s="14">
        <f t="shared" si="13"/>
        <v>293942</v>
      </c>
      <c r="G44" s="14">
        <f t="shared" si="13"/>
        <v>12457000</v>
      </c>
      <c r="H44" s="14">
        <f>+H65+H72</f>
        <v>0</v>
      </c>
      <c r="I44" s="14">
        <f t="shared" si="13"/>
        <v>15000000</v>
      </c>
      <c r="J44" s="14">
        <f t="shared" si="13"/>
        <v>2902942</v>
      </c>
      <c r="K44" s="14">
        <f t="shared" si="13"/>
        <v>30317418</v>
      </c>
      <c r="L44" s="14">
        <f>+L65+L72</f>
        <v>0</v>
      </c>
      <c r="M44" s="14">
        <f t="shared" si="13"/>
        <v>0</v>
      </c>
      <c r="N44" s="14">
        <f t="shared" si="13"/>
        <v>1142711</v>
      </c>
      <c r="O44" s="14">
        <f t="shared" si="13"/>
        <v>0</v>
      </c>
      <c r="P44" s="14">
        <f>+P65+P72</f>
        <v>0</v>
      </c>
      <c r="Q44" s="14">
        <f>+Q65+Q72</f>
        <v>0</v>
      </c>
      <c r="R44" s="14">
        <f>+R65+R72</f>
        <v>0</v>
      </c>
      <c r="S44" s="14">
        <f>+S65+S72</f>
        <v>0</v>
      </c>
      <c r="T44" s="14">
        <f t="shared" si="13"/>
        <v>817977</v>
      </c>
      <c r="U44" s="14">
        <f t="shared" si="13"/>
        <v>0</v>
      </c>
      <c r="V44" s="14">
        <f t="shared" si="13"/>
        <v>30000</v>
      </c>
      <c r="W44" s="14">
        <f t="shared" si="13"/>
        <v>0</v>
      </c>
    </row>
    <row r="45" spans="1:29" s="90" customFormat="1">
      <c r="A45" s="90">
        <v>2022</v>
      </c>
      <c r="B45" s="95"/>
      <c r="C45" s="96" t="s">
        <v>344</v>
      </c>
      <c r="D45" s="70">
        <f t="shared" si="11"/>
        <v>-39302209</v>
      </c>
      <c r="E45" s="113"/>
      <c r="F45" s="113">
        <v>-127719</v>
      </c>
      <c r="G45" s="113">
        <v>-7111338</v>
      </c>
      <c r="H45" s="113"/>
      <c r="I45" s="113">
        <v>-12647734</v>
      </c>
      <c r="J45" s="113">
        <v>-4206379</v>
      </c>
      <c r="K45" s="113">
        <v>-13512599</v>
      </c>
      <c r="L45" s="113"/>
      <c r="M45" s="3"/>
      <c r="N45" s="113">
        <v>-686707</v>
      </c>
      <c r="O45" s="113"/>
      <c r="P45" s="113"/>
      <c r="Q45" s="113"/>
      <c r="R45" s="113"/>
      <c r="S45" s="113"/>
      <c r="T45" s="113">
        <v>-790919</v>
      </c>
      <c r="U45" s="113"/>
      <c r="V45" s="113">
        <v>-218814</v>
      </c>
      <c r="W45" s="113"/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273</v>
      </c>
      <c r="D46" s="70">
        <f t="shared" si="11"/>
        <v>206558608</v>
      </c>
      <c r="E46" s="14">
        <f>+E43+E44+E45</f>
        <v>142712312</v>
      </c>
      <c r="F46" s="14">
        <f t="shared" ref="F46:W46" si="14">+F43+F44+F45</f>
        <v>166223</v>
      </c>
      <c r="G46" s="14">
        <f t="shared" si="14"/>
        <v>13954418</v>
      </c>
      <c r="H46" s="14">
        <f>+H43+H44+H45</f>
        <v>0</v>
      </c>
      <c r="I46" s="14">
        <f t="shared" si="14"/>
        <v>17841269</v>
      </c>
      <c r="J46" s="14">
        <f t="shared" si="14"/>
        <v>2151761</v>
      </c>
      <c r="K46" s="14">
        <f t="shared" si="14"/>
        <v>28351178</v>
      </c>
      <c r="L46" s="14">
        <f>+L43+L44+L45</f>
        <v>0</v>
      </c>
      <c r="M46" s="14">
        <f t="shared" si="14"/>
        <v>0</v>
      </c>
      <c r="N46" s="14">
        <f t="shared" si="14"/>
        <v>456004</v>
      </c>
      <c r="O46" s="14">
        <f t="shared" si="14"/>
        <v>0</v>
      </c>
      <c r="P46" s="14">
        <f>+P43+P44+P45</f>
        <v>0</v>
      </c>
      <c r="Q46" s="14">
        <f>+Q43+Q44+Q45</f>
        <v>0</v>
      </c>
      <c r="R46" s="14">
        <f>+R43+R44+R45</f>
        <v>0</v>
      </c>
      <c r="S46" s="14">
        <f>+S43+S44+S45</f>
        <v>0</v>
      </c>
      <c r="T46" s="14">
        <f t="shared" si="14"/>
        <v>885443</v>
      </c>
      <c r="U46" s="14">
        <f t="shared" si="14"/>
        <v>0</v>
      </c>
      <c r="V46" s="14">
        <f t="shared" si="14"/>
        <v>40000</v>
      </c>
      <c r="W46" s="14">
        <f t="shared" si="14"/>
        <v>0</v>
      </c>
    </row>
    <row r="47" spans="1:29" s="90" customFormat="1">
      <c r="A47" s="90">
        <v>2022</v>
      </c>
      <c r="B47" s="111"/>
      <c r="C47" s="112" t="s">
        <v>229</v>
      </c>
      <c r="D47" s="70">
        <f t="shared" si="11"/>
        <v>206558608.17999998</v>
      </c>
      <c r="E47" s="134">
        <f>+'PLAN RASHODA I IZDATAKA'!E71</f>
        <v>142712312.47</v>
      </c>
      <c r="F47" s="134">
        <f>+'PLAN RASHODA I IZDATAKA'!F71</f>
        <v>166223.03</v>
      </c>
      <c r="G47" s="134">
        <f>+'PLAN RASHODA I IZDATAKA'!G71</f>
        <v>13954418</v>
      </c>
      <c r="H47" s="134">
        <f>+'PLAN RASHODA I IZDATAKA'!H71</f>
        <v>0</v>
      </c>
      <c r="I47" s="134">
        <f>+'PLAN RASHODA I IZDATAKA'!I71</f>
        <v>17841269.029999997</v>
      </c>
      <c r="J47" s="134">
        <f>+'PLAN RASHODA I IZDATAKA'!J71</f>
        <v>2151760.98</v>
      </c>
      <c r="K47" s="134">
        <f>+'PLAN RASHODA I IZDATAKA'!K71</f>
        <v>28351177.530000001</v>
      </c>
      <c r="L47" s="134">
        <f>+'PLAN RASHODA I IZDATAKA'!L71</f>
        <v>0</v>
      </c>
      <c r="M47" s="134">
        <f>+'PLAN RASHODA I IZDATAKA'!M71</f>
        <v>0</v>
      </c>
      <c r="N47" s="134">
        <f>+'PLAN RASHODA I IZDATAKA'!N71</f>
        <v>456004.35</v>
      </c>
      <c r="O47" s="134">
        <f>+'PLAN RASHODA I IZDATAKA'!O71</f>
        <v>0</v>
      </c>
      <c r="P47" s="134">
        <f>+'PLAN RASHODA I IZDATAKA'!P71</f>
        <v>0</v>
      </c>
      <c r="Q47" s="134">
        <f>+'PLAN RASHODA I IZDATAKA'!Q71</f>
        <v>0</v>
      </c>
      <c r="R47" s="134">
        <f>+'PLAN RASHODA I IZDATAKA'!R71</f>
        <v>0</v>
      </c>
      <c r="S47" s="134">
        <f>+'PLAN RASHODA I IZDATAKA'!S71</f>
        <v>0</v>
      </c>
      <c r="T47" s="134">
        <f>+'PLAN RASHODA I IZDATAKA'!T71</f>
        <v>885442.78999999992</v>
      </c>
      <c r="U47" s="134">
        <f>+'PLAN RASHODA I IZDATAKA'!U71</f>
        <v>0</v>
      </c>
      <c r="V47" s="134">
        <f>+'PLAN RASHODA I IZDATAKA'!V71</f>
        <v>40000</v>
      </c>
      <c r="W47" s="134">
        <f>+'PLAN RASHODA I IZDATAKA'!W71</f>
        <v>0</v>
      </c>
      <c r="X47" s="94"/>
      <c r="Y47" s="94"/>
      <c r="Z47" s="94"/>
      <c r="AA47" s="94"/>
      <c r="AB47" s="94"/>
      <c r="AC47" s="94"/>
    </row>
    <row r="48" spans="1:29" s="90" customFormat="1" ht="13.5" thickBot="1">
      <c r="A48" s="90">
        <v>2022</v>
      </c>
      <c r="B48" s="116"/>
      <c r="C48" s="117" t="s">
        <v>343</v>
      </c>
      <c r="D48" s="69">
        <f t="shared" si="11"/>
        <v>-0.17999999734456651</v>
      </c>
      <c r="E48" s="118">
        <f>+E46-E47</f>
        <v>-0.4699999988079071</v>
      </c>
      <c r="F48" s="118">
        <f t="shared" ref="F48:W48" si="15">+F46-F47</f>
        <v>-2.9999999998835847E-2</v>
      </c>
      <c r="G48" s="118">
        <f t="shared" si="15"/>
        <v>0</v>
      </c>
      <c r="H48" s="118">
        <f>+H46-H47</f>
        <v>0</v>
      </c>
      <c r="I48" s="118">
        <f t="shared" si="15"/>
        <v>-2.9999997466802597E-2</v>
      </c>
      <c r="J48" s="118">
        <f t="shared" si="15"/>
        <v>2.0000000018626451E-2</v>
      </c>
      <c r="K48" s="118">
        <f t="shared" si="15"/>
        <v>0.4699999988079071</v>
      </c>
      <c r="L48" s="118">
        <f>+L46-L47</f>
        <v>0</v>
      </c>
      <c r="M48" s="118">
        <f t="shared" si="15"/>
        <v>0</v>
      </c>
      <c r="N48" s="118">
        <f t="shared" si="15"/>
        <v>-0.34999999997671694</v>
      </c>
      <c r="O48" s="118">
        <f t="shared" si="15"/>
        <v>0</v>
      </c>
      <c r="P48" s="118">
        <f>+P46-P47</f>
        <v>0</v>
      </c>
      <c r="Q48" s="118">
        <f>+Q46-Q47</f>
        <v>0</v>
      </c>
      <c r="R48" s="118">
        <f>+R46-R47</f>
        <v>0</v>
      </c>
      <c r="S48" s="118">
        <f>+S46-S47</f>
        <v>0</v>
      </c>
      <c r="T48" s="118">
        <f t="shared" si="15"/>
        <v>0.21000000007916242</v>
      </c>
      <c r="U48" s="118">
        <f t="shared" si="15"/>
        <v>0</v>
      </c>
      <c r="V48" s="118">
        <f t="shared" si="15"/>
        <v>0</v>
      </c>
      <c r="W48" s="118">
        <f t="shared" si="15"/>
        <v>0</v>
      </c>
    </row>
    <row r="49" spans="1:23" s="90" customFormat="1">
      <c r="A49" s="90">
        <v>2022</v>
      </c>
      <c r="B49" s="97" t="s">
        <v>1372</v>
      </c>
      <c r="C49" s="110" t="s">
        <v>1373</v>
      </c>
      <c r="D49" s="70">
        <f t="shared" si="11"/>
        <v>0</v>
      </c>
      <c r="E49" s="186">
        <f>SUMIFS('Plan prihoda za unos u SAP'!$H$3:$H$500,'Plan prihoda za unos u SAP'!$C$3:$C$500,"=11",'Plan prihoda za unos u SAP'!$K$3:$K$500,"=614")</f>
        <v>0</v>
      </c>
      <c r="F49" s="186">
        <f>SUMIFS('Plan prihoda za unos u SAP'!$H$3:$H$500,'Plan prihoda za unos u SAP'!$C$3:$C$500,"=12",'Plan prihoda za unos u SAP'!$K$3:$K$500,"=614")</f>
        <v>0</v>
      </c>
      <c r="G49" s="186">
        <f>SUMIFS('Plan prihoda za unos u SAP'!$H$3:$H$500,'Plan prihoda za unos u SAP'!$C$3:$C$500,"=31",'Plan prihoda za unos u SAP'!$K$3:$K$500,"=614")</f>
        <v>0</v>
      </c>
      <c r="H49" s="186">
        <f>SUMIFS('Plan prihoda za unos u SAP'!$H$3:$H$500,'Plan prihoda za unos u SAP'!$C$3:$C$500,"=41",'Plan prihoda za unos u SAP'!$K$3:$K$500,"=614")</f>
        <v>0</v>
      </c>
      <c r="I49" s="186">
        <f>SUMIFS('Plan prihoda za unos u SAP'!$H$3:$H$500,'Plan prihoda za unos u SAP'!$C$3:$C$500,"=43",'Plan prihoda za unos u SAP'!$K$3:$K$500,"=614")</f>
        <v>0</v>
      </c>
      <c r="J49" s="186">
        <f>SUMIFS('Plan prihoda za unos u SAP'!$H$3:$H$500,'Plan prihoda za unos u SAP'!$C$3:$C$500,"=51",'Plan prihoda za unos u SAP'!$K$3:$K$500,"=614")</f>
        <v>0</v>
      </c>
      <c r="K49" s="186">
        <f>SUMIFS('Plan prihoda za unos u SAP'!$H$3:$H$500,'Plan prihoda za unos u SAP'!$C$3:$C$500,"=52",'Plan prihoda za unos u SAP'!$K$3:$K$500,"=614")</f>
        <v>0</v>
      </c>
      <c r="L49" s="186">
        <f>SUMIFS('Plan prihoda za unos u SAP'!$H$3:$H$500,'Plan prihoda za unos u SAP'!$C$3:$C$500,"=552",'Plan prihoda za unos u SAP'!$K$3:$K$500,"=614")</f>
        <v>0</v>
      </c>
      <c r="M49" s="186">
        <f>SUMIFS('Plan prihoda za unos u SAP'!$H$3:$H$500,'Plan prihoda za unos u SAP'!$C$3:$C$500,"=559",'Plan prihoda za unos u SAP'!$K$3:$K$500,"=614")</f>
        <v>0</v>
      </c>
      <c r="N49" s="186">
        <f>SUMIFS('Plan prihoda za unos u SAP'!$H$3:$H$500,'Plan prihoda za unos u SAP'!$C$3:$C$500,"=561",'Plan prihoda za unos u SAP'!$K$3:$K$500,"=614")</f>
        <v>0</v>
      </c>
      <c r="O49" s="186">
        <f>SUMIFS('Plan prihoda za unos u SAP'!$H$3:$H$500,'Plan prihoda za unos u SAP'!$C$3:$C$500,"=563",'Plan prihoda za unos u SAP'!$K$3:$K$500,"=614")</f>
        <v>0</v>
      </c>
      <c r="P49" s="186">
        <f>SUMIFS('Plan prihoda za unos u SAP'!$H$3:$H$500,'Plan prihoda za unos u SAP'!$C$3:$C$500,"=573",'Plan prihoda za unos u SAP'!$K$3:$K$500,"=614")</f>
        <v>0</v>
      </c>
      <c r="Q49" s="186">
        <f>SUMIFS('Plan prihoda za unos u SAP'!$H$3:$H$500,'Plan prihoda za unos u SAP'!$C$3:$C$500,"=575",'Plan prihoda za unos u SAP'!$K$3:$K$500,"=614")</f>
        <v>0</v>
      </c>
      <c r="R49" s="186">
        <f>SUMIFS('Plan prihoda za unos u SAP'!$H$3:$H$500,'Plan prihoda za unos u SAP'!$C$3:$C$500,"=576",'Plan prihoda za unos u SAP'!$K$3:$K$500,"=614")</f>
        <v>0</v>
      </c>
      <c r="S49" s="186">
        <f>SUMIFS('Plan prihoda za unos u SAP'!$H$3:$H$500,'Plan prihoda za unos u SAP'!$C$3:$C$500,"=581",'Plan prihoda za unos u SAP'!$K$3:$K$500,"=614")</f>
        <v>0</v>
      </c>
      <c r="T49" s="186">
        <f>SUMIFS('Plan prihoda za unos u SAP'!$H$3:$H$500,'Plan prihoda za unos u SAP'!$C$3:$C$500,"=61",'Plan prihoda za unos u SAP'!$K$3:$K$500,"=614")</f>
        <v>0</v>
      </c>
      <c r="U49" s="186">
        <f>SUMIFS('Plan prihoda za unos u SAP'!$H$3:$H$500,'Plan prihoda za unos u SAP'!$C$3:$C$500,"=63",'Plan prihoda za unos u SAP'!$K$3:$K$500,"=614")</f>
        <v>0</v>
      </c>
      <c r="V49" s="186">
        <f>SUMIFS('Plan prihoda za unos u SAP'!$H$3:$H$500,'Plan prihoda za unos u SAP'!$C$3:$C$500,"=71",'Plan prihoda za unos u SAP'!$K$3:$K$500,"=614")</f>
        <v>0</v>
      </c>
      <c r="W49" s="186">
        <f>SUMIFS('Plan prihoda za unos u SAP'!$H$3:$H$500,'Plan prihoda za unos u SAP'!$C$3:$C$500,"=81",'Plan prihoda za unos u SAP'!$K$3:$K$500,"=614")</f>
        <v>0</v>
      </c>
    </row>
    <row r="50" spans="1:23" s="90" customFormat="1">
      <c r="A50" s="90">
        <v>2022</v>
      </c>
      <c r="B50" s="97" t="s">
        <v>274</v>
      </c>
      <c r="C50" s="96" t="s">
        <v>275</v>
      </c>
      <c r="D50" s="70">
        <f t="shared" si="11"/>
        <v>183060</v>
      </c>
      <c r="E50" s="186">
        <f>SUMIFS('Plan prihoda za unos u SAP'!$H$3:$H$500,'Plan prihoda za unos u SAP'!$C$3:$C$500,"=11",'Plan prihoda za unos u SAP'!$K$3:$K$500,"=631")</f>
        <v>0</v>
      </c>
      <c r="F50" s="186">
        <f>SUMIFS('Plan prihoda za unos u SAP'!$H$3:$H$500,'Plan prihoda za unos u SAP'!$C$3:$C$500,"=12",'Plan prihoda za unos u SAP'!$K$3:$K$500,"=631")</f>
        <v>0</v>
      </c>
      <c r="G50" s="186">
        <f>SUMIFS('Plan prihoda za unos u SAP'!$H$3:$H$500,'Plan prihoda za unos u SAP'!$C$3:$C$500,"=31",'Plan prihoda za unos u SAP'!$K$3:$K$500,"=631")</f>
        <v>0</v>
      </c>
      <c r="H50" s="186">
        <f>SUMIFS('Plan prihoda za unos u SAP'!$H$3:$H$500,'Plan prihoda za unos u SAP'!$C$3:$C$500,"=41",'Plan prihoda za unos u SAP'!$K$3:$K$500,"=631")</f>
        <v>0</v>
      </c>
      <c r="I50" s="186">
        <f>SUMIFS('Plan prihoda za unos u SAP'!$H$3:$H$500,'Plan prihoda za unos u SAP'!$C$3:$C$500,"=43",'Plan prihoda za unos u SAP'!$K$3:$K$500,"=631")</f>
        <v>0</v>
      </c>
      <c r="J50" s="186">
        <f>SUMIFS('Plan prihoda za unos u SAP'!$H$3:$H$500,'Plan prihoda za unos u SAP'!$C$3:$C$500,"=51",'Plan prihoda za unos u SAP'!$K$3:$K$500,"=631")</f>
        <v>0</v>
      </c>
      <c r="K50" s="186">
        <f>SUMIFS('Plan prihoda za unos u SAP'!$H$3:$H$500,'Plan prihoda za unos u SAP'!$C$3:$C$500,"=52",'Plan prihoda za unos u SAP'!$K$3:$K$500,"=631")</f>
        <v>183060</v>
      </c>
      <c r="L50" s="186">
        <f>SUMIFS('Plan prihoda za unos u SAP'!$H$3:$H$500,'Plan prihoda za unos u SAP'!$C$3:$C$500,"=552",'Plan prihoda za unos u SAP'!$K$3:$K$500,"=631")</f>
        <v>0</v>
      </c>
      <c r="M50" s="186">
        <f>SUMIFS('Plan prihoda za unos u SAP'!$H$3:$H$500,'Plan prihoda za unos u SAP'!$C$3:$C$500,"=559",'Plan prihoda za unos u SAP'!$K$3:$K$500,"=631")</f>
        <v>0</v>
      </c>
      <c r="N50" s="186">
        <f>SUMIFS('Plan prihoda za unos u SAP'!$H$3:$H$500,'Plan prihoda za unos u SAP'!$C$3:$C$500,"=561",'Plan prihoda za unos u SAP'!$K$3:$K$500,"=631")</f>
        <v>0</v>
      </c>
      <c r="O50" s="186">
        <f>SUMIFS('Plan prihoda za unos u SAP'!$H$3:$H$500,'Plan prihoda za unos u SAP'!$C$3:$C$500,"=563",'Plan prihoda za unos u SAP'!$K$3:$K$500,"=631")</f>
        <v>0</v>
      </c>
      <c r="P50" s="186">
        <f>SUMIFS('Plan prihoda za unos u SAP'!$H$3:$H$500,'Plan prihoda za unos u SAP'!$C$3:$C$500,"=573",'Plan prihoda za unos u SAP'!$K$3:$K$500,"=631")</f>
        <v>0</v>
      </c>
      <c r="Q50" s="186">
        <f>SUMIFS('Plan prihoda za unos u SAP'!$H$3:$H$500,'Plan prihoda za unos u SAP'!$C$3:$C$500,"=575",'Plan prihoda za unos u SAP'!$K$3:$K$500,"=631")</f>
        <v>0</v>
      </c>
      <c r="R50" s="186">
        <f>SUMIFS('Plan prihoda za unos u SAP'!$H$3:$H$500,'Plan prihoda za unos u SAP'!$C$3:$C$500,"=576",'Plan prihoda za unos u SAP'!$K$3:$K$500,"=631")</f>
        <v>0</v>
      </c>
      <c r="S50" s="186">
        <f>SUMIFS('Plan prihoda za unos u SAP'!$H$3:$H$500,'Plan prihoda za unos u SAP'!$C$3:$C$500,"=581",'Plan prihoda za unos u SAP'!$K$3:$K$500,"=631")</f>
        <v>0</v>
      </c>
      <c r="T50" s="186">
        <f>SUMIFS('Plan prihoda za unos u SAP'!$H$3:$H$500,'Plan prihoda za unos u SAP'!$C$3:$C$500,"=61",'Plan prihoda za unos u SAP'!$K$3:$K$500,"=631")</f>
        <v>0</v>
      </c>
      <c r="U50" s="186">
        <f>SUMIFS('Plan prihoda za unos u SAP'!$H$3:$H$500,'Plan prihoda za unos u SAP'!$C$3:$C$500,"=63",'Plan prihoda za unos u SAP'!$K$3:$K$500,"=631")</f>
        <v>0</v>
      </c>
      <c r="V50" s="186">
        <f>SUMIFS('Plan prihoda za unos u SAP'!$H$3:$H$500,'Plan prihoda za unos u SAP'!$C$3:$C$500,"=71",'Plan prihoda za unos u SAP'!$K$3:$K$500,"=631")</f>
        <v>0</v>
      </c>
      <c r="W50" s="186">
        <f>SUMIFS('Plan prihoda za unos u SAP'!$H$3:$H$500,'Plan prihoda za unos u SAP'!$C$3:$C$500,"=81",'Plan prihoda za unos u SAP'!$K$3:$K$500,"=631")</f>
        <v>0</v>
      </c>
    </row>
    <row r="51" spans="1:23" s="90" customFormat="1">
      <c r="A51" s="90">
        <v>2022</v>
      </c>
      <c r="B51" s="95" t="s">
        <v>276</v>
      </c>
      <c r="C51" s="96" t="s">
        <v>277</v>
      </c>
      <c r="D51" s="70">
        <f t="shared" si="11"/>
        <v>4045653</v>
      </c>
      <c r="E51" s="186">
        <f>SUMIFS('Plan prihoda za unos u SAP'!$H$3:$H$500,'Plan prihoda za unos u SAP'!$C$3:$C$500,"=11",'Plan prihoda za unos u SAP'!$K$3:$K$500,"=632")</f>
        <v>0</v>
      </c>
      <c r="F51" s="186">
        <f>SUMIFS('Plan prihoda za unos u SAP'!$H$3:$H$500,'Plan prihoda za unos u SAP'!$C$3:$C$500,"=12",'Plan prihoda za unos u SAP'!$K$3:$K$500,"=632")</f>
        <v>0</v>
      </c>
      <c r="G51" s="186">
        <f>SUMIFS('Plan prihoda za unos u SAP'!$H$3:$H$500,'Plan prihoda za unos u SAP'!$C$3:$C$500,"=31",'Plan prihoda za unos u SAP'!$K$3:$K$500,"=632")</f>
        <v>0</v>
      </c>
      <c r="H51" s="186">
        <f>SUMIFS('Plan prihoda za unos u SAP'!$H$3:$H$500,'Plan prihoda za unos u SAP'!$C$3:$C$500,"=41",'Plan prihoda za unos u SAP'!$K$3:$K$500,"=632")</f>
        <v>0</v>
      </c>
      <c r="I51" s="186">
        <f>SUMIFS('Plan prihoda za unos u SAP'!$H$3:$H$500,'Plan prihoda za unos u SAP'!$C$3:$C$500,"=43",'Plan prihoda za unos u SAP'!$K$3:$K$500,"=632")</f>
        <v>0</v>
      </c>
      <c r="J51" s="186">
        <f>SUMIFS('Plan prihoda za unos u SAP'!$H$3:$H$500,'Plan prihoda za unos u SAP'!$C$3:$C$500,"=51",'Plan prihoda za unos u SAP'!$K$3:$K$500,"=632")</f>
        <v>2902942</v>
      </c>
      <c r="K51" s="186">
        <f>SUMIFS('Plan prihoda za unos u SAP'!$H$3:$H$500,'Plan prihoda za unos u SAP'!$C$3:$C$500,"=52",'Plan prihoda za unos u SAP'!$K$3:$K$500,"=632")</f>
        <v>0</v>
      </c>
      <c r="L51" s="186">
        <f>SUMIFS('Plan prihoda za unos u SAP'!$H$3:$H$500,'Plan prihoda za unos u SAP'!$C$3:$C$500,"=552",'Plan prihoda za unos u SAP'!$K$3:$K$500,"=632")</f>
        <v>0</v>
      </c>
      <c r="M51" s="186">
        <f>SUMIFS('Plan prihoda za unos u SAP'!$H$3:$H$500,'Plan prihoda za unos u SAP'!$C$3:$C$500,"=559",'Plan prihoda za unos u SAP'!$K$3:$K$500,"=632")</f>
        <v>0</v>
      </c>
      <c r="N51" s="186">
        <f>SUMIFS('Plan prihoda za unos u SAP'!$H$3:$H$500,'Plan prihoda za unos u SAP'!$C$3:$C$500,"=561",'Plan prihoda za unos u SAP'!$K$3:$K$500,"=632")</f>
        <v>1142711</v>
      </c>
      <c r="O51" s="186">
        <f>SUMIFS('Plan prihoda za unos u SAP'!$H$3:$H$500,'Plan prihoda za unos u SAP'!$C$3:$C$500,"=563",'Plan prihoda za unos u SAP'!$K$3:$K$500,"=632")</f>
        <v>0</v>
      </c>
      <c r="P51" s="186">
        <f>SUMIFS('Plan prihoda za unos u SAP'!$H$3:$H$500,'Plan prihoda za unos u SAP'!$C$3:$C$500,"=573",'Plan prihoda za unos u SAP'!$K$3:$K$500,"=632")</f>
        <v>0</v>
      </c>
      <c r="Q51" s="186">
        <f>SUMIFS('Plan prihoda za unos u SAP'!$H$3:$H$500,'Plan prihoda za unos u SAP'!$C$3:$C$500,"=575",'Plan prihoda za unos u SAP'!$K$3:$K$500,"=632")</f>
        <v>0</v>
      </c>
      <c r="R51" s="186">
        <f>SUMIFS('Plan prihoda za unos u SAP'!$H$3:$H$500,'Plan prihoda za unos u SAP'!$C$3:$C$500,"=576",'Plan prihoda za unos u SAP'!$K$3:$K$500,"=632")</f>
        <v>0</v>
      </c>
      <c r="S51" s="186">
        <f>SUMIFS('Plan prihoda za unos u SAP'!$H$3:$H$500,'Plan prihoda za unos u SAP'!$C$3:$C$500,"=581",'Plan prihoda za unos u SAP'!$K$3:$K$500,"=632")</f>
        <v>0</v>
      </c>
      <c r="T51" s="186">
        <f>SUMIFS('Plan prihoda za unos u SAP'!$H$3:$H$500,'Plan prihoda za unos u SAP'!$C$3:$C$500,"=61",'Plan prihoda za unos u SAP'!$K$3:$K$500,"=632")</f>
        <v>0</v>
      </c>
      <c r="U51" s="186">
        <f>SUMIFS('Plan prihoda za unos u SAP'!$H$3:$H$500,'Plan prihoda za unos u SAP'!$C$3:$C$500,"=63",'Plan prihoda za unos u SAP'!$K$3:$K$500,"=632")</f>
        <v>0</v>
      </c>
      <c r="V51" s="186">
        <f>SUMIFS('Plan prihoda za unos u SAP'!$H$3:$H$500,'Plan prihoda za unos u SAP'!$C$3:$C$500,"=71",'Plan prihoda za unos u SAP'!$K$3:$K$500,"=632")</f>
        <v>0</v>
      </c>
      <c r="W51" s="186">
        <f>SUMIFS('Plan prihoda za unos u SAP'!$H$3:$H$500,'Plan prihoda za unos u SAP'!$C$3:$C$500,"=81",'Plan prihoda za unos u SAP'!$K$3:$K$500,"=632")</f>
        <v>0</v>
      </c>
    </row>
    <row r="52" spans="1:23" s="90" customFormat="1">
      <c r="A52" s="90">
        <v>2022</v>
      </c>
      <c r="B52" s="95" t="s">
        <v>278</v>
      </c>
      <c r="C52" s="96" t="s">
        <v>279</v>
      </c>
      <c r="D52" s="70">
        <f t="shared" si="11"/>
        <v>0</v>
      </c>
      <c r="E52" s="186">
        <f>SUMIFS('Plan prihoda za unos u SAP'!$H$3:$H$500,'Plan prihoda za unos u SAP'!$C$3:$C$500,"=11",'Plan prihoda za unos u SAP'!$K$3:$K$500,"=634")</f>
        <v>0</v>
      </c>
      <c r="F52" s="186">
        <f>SUMIFS('Plan prihoda za unos u SAP'!$H$3:$H$500,'Plan prihoda za unos u SAP'!$C$3:$C$500,"=12",'Plan prihoda za unos u SAP'!$K$3:$K$500,"=634")</f>
        <v>0</v>
      </c>
      <c r="G52" s="186">
        <f>SUMIFS('Plan prihoda za unos u SAP'!$H$3:$H$500,'Plan prihoda za unos u SAP'!$C$3:$C$500,"=31",'Plan prihoda za unos u SAP'!$K$3:$K$500,"=634")</f>
        <v>0</v>
      </c>
      <c r="H52" s="186">
        <f>SUMIFS('Plan prihoda za unos u SAP'!$H$3:$H$500,'Plan prihoda za unos u SAP'!$C$3:$C$500,"=41",'Plan prihoda za unos u SAP'!$K$3:$K$500,"=634")</f>
        <v>0</v>
      </c>
      <c r="I52" s="186">
        <f>SUMIFS('Plan prihoda za unos u SAP'!$H$3:$H$500,'Plan prihoda za unos u SAP'!$C$3:$C$500,"=43",'Plan prihoda za unos u SAP'!$K$3:$K$500,"=634")</f>
        <v>0</v>
      </c>
      <c r="J52" s="186">
        <f>SUMIFS('Plan prihoda za unos u SAP'!$H$3:$H$500,'Plan prihoda za unos u SAP'!$C$3:$C$500,"=51",'Plan prihoda za unos u SAP'!$K$3:$K$500,"=634")</f>
        <v>0</v>
      </c>
      <c r="K52" s="186">
        <f>SUMIFS('Plan prihoda za unos u SAP'!$H$3:$H$500,'Plan prihoda za unos u SAP'!$C$3:$C$500,"=52",'Plan prihoda za unos u SAP'!$K$3:$K$500,"=634")</f>
        <v>0</v>
      </c>
      <c r="L52" s="186">
        <f>SUMIFS('Plan prihoda za unos u SAP'!$H$3:$H$500,'Plan prihoda za unos u SAP'!$C$3:$C$500,"=552",'Plan prihoda za unos u SAP'!$K$3:$K$500,"=634")</f>
        <v>0</v>
      </c>
      <c r="M52" s="186">
        <f>SUMIFS('Plan prihoda za unos u SAP'!$H$3:$H$500,'Plan prihoda za unos u SAP'!$C$3:$C$500,"=559",'Plan prihoda za unos u SAP'!$K$3:$K$500,"=634")</f>
        <v>0</v>
      </c>
      <c r="N52" s="186">
        <f>SUMIFS('Plan prihoda za unos u SAP'!$H$3:$H$500,'Plan prihoda za unos u SAP'!$C$3:$C$500,"=561",'Plan prihoda za unos u SAP'!$K$3:$K$500,"=634")</f>
        <v>0</v>
      </c>
      <c r="O52" s="186">
        <f>SUMIFS('Plan prihoda za unos u SAP'!$H$3:$H$500,'Plan prihoda za unos u SAP'!$C$3:$C$500,"=563",'Plan prihoda za unos u SAP'!$K$3:$K$500,"=634")</f>
        <v>0</v>
      </c>
      <c r="P52" s="186">
        <f>SUMIFS('Plan prihoda za unos u SAP'!$H$3:$H$500,'Plan prihoda za unos u SAP'!$C$3:$C$500,"=573",'Plan prihoda za unos u SAP'!$K$3:$K$500,"=634")</f>
        <v>0</v>
      </c>
      <c r="Q52" s="186">
        <f>SUMIFS('Plan prihoda za unos u SAP'!$H$3:$H$500,'Plan prihoda za unos u SAP'!$C$3:$C$500,"=575",'Plan prihoda za unos u SAP'!$K$3:$K$500,"=634")</f>
        <v>0</v>
      </c>
      <c r="R52" s="186">
        <f>SUMIFS('Plan prihoda za unos u SAP'!$H$3:$H$500,'Plan prihoda za unos u SAP'!$C$3:$C$500,"=576",'Plan prihoda za unos u SAP'!$K$3:$K$500,"=634")</f>
        <v>0</v>
      </c>
      <c r="S52" s="186">
        <f>SUMIFS('Plan prihoda za unos u SAP'!$H$3:$H$500,'Plan prihoda za unos u SAP'!$C$3:$C$500,"=581",'Plan prihoda za unos u SAP'!$K$3:$K$500,"=634")</f>
        <v>0</v>
      </c>
      <c r="T52" s="186">
        <f>SUMIFS('Plan prihoda za unos u SAP'!$H$3:$H$500,'Plan prihoda za unos u SAP'!$C$3:$C$500,"=61",'Plan prihoda za unos u SAP'!$K$3:$K$500,"=634")</f>
        <v>0</v>
      </c>
      <c r="U52" s="186">
        <f>SUMIFS('Plan prihoda za unos u SAP'!$H$3:$H$500,'Plan prihoda za unos u SAP'!$C$3:$C$500,"=63",'Plan prihoda za unos u SAP'!$K$3:$K$500,"=634")</f>
        <v>0</v>
      </c>
      <c r="V52" s="186">
        <f>SUMIFS('Plan prihoda za unos u SAP'!$H$3:$H$500,'Plan prihoda za unos u SAP'!$C$3:$C$500,"=71",'Plan prihoda za unos u SAP'!$K$3:$K$500,"=634")</f>
        <v>0</v>
      </c>
      <c r="W52" s="186">
        <f>SUMIFS('Plan prihoda za unos u SAP'!$H$3:$H$500,'Plan prihoda za unos u SAP'!$C$3:$C$500,"=81",'Plan prihoda za unos u SAP'!$K$3:$K$500,"=634")</f>
        <v>0</v>
      </c>
    </row>
    <row r="53" spans="1:23" s="90" customFormat="1">
      <c r="A53" s="90">
        <v>2022</v>
      </c>
      <c r="B53" s="203" t="s">
        <v>735</v>
      </c>
      <c r="C53" s="96" t="s">
        <v>736</v>
      </c>
      <c r="D53" s="70">
        <f t="shared" si="11"/>
        <v>1239556</v>
      </c>
      <c r="E53" s="186">
        <f>SUMIFS('Plan prihoda za unos u SAP'!$H$3:$H$500,'Plan prihoda za unos u SAP'!$C$3:$C$500,"=11",'Plan prihoda za unos u SAP'!$K$3:$K$500,"=636")</f>
        <v>0</v>
      </c>
      <c r="F53" s="186">
        <f>SUMIFS('Plan prihoda za unos u SAP'!$H$3:$H$500,'Plan prihoda za unos u SAP'!$C$3:$C$500,"=12",'Plan prihoda za unos u SAP'!$K$3:$K$500,"=636")</f>
        <v>0</v>
      </c>
      <c r="G53" s="186">
        <f>SUMIFS('Plan prihoda za unos u SAP'!$H$3:$H$500,'Plan prihoda za unos u SAP'!$C$3:$C$500,"=31",'Plan prihoda za unos u SAP'!$K$3:$K$500,"=636")</f>
        <v>0</v>
      </c>
      <c r="H53" s="186">
        <f>SUMIFS('Plan prihoda za unos u SAP'!$H$3:$H$500,'Plan prihoda za unos u SAP'!$C$3:$C$500,"=41",'Plan prihoda za unos u SAP'!$K$3:$K$500,"=636")</f>
        <v>0</v>
      </c>
      <c r="I53" s="186">
        <f>SUMIFS('Plan prihoda za unos u SAP'!$H$3:$H$500,'Plan prihoda za unos u SAP'!$C$3:$C$500,"=43",'Plan prihoda za unos u SAP'!$K$3:$K$500,"=636")</f>
        <v>0</v>
      </c>
      <c r="J53" s="186">
        <f>SUMIFS('Plan prihoda za unos u SAP'!$H$3:$H$500,'Plan prihoda za unos u SAP'!$C$3:$C$500,"=51",'Plan prihoda za unos u SAP'!$K$3:$K$500,"=636")</f>
        <v>0</v>
      </c>
      <c r="K53" s="186">
        <f>SUMIFS('Plan prihoda za unos u SAP'!$H$3:$H$500,'Plan prihoda za unos u SAP'!$C$3:$C$500,"=52",'Plan prihoda za unos u SAP'!$K$3:$K$500,"=636")</f>
        <v>1239556</v>
      </c>
      <c r="L53" s="186">
        <f>SUMIFS('Plan prihoda za unos u SAP'!$H$3:$H$500,'Plan prihoda za unos u SAP'!$C$3:$C$500,"=552",'Plan prihoda za unos u SAP'!$K$3:$K$500,"=636")</f>
        <v>0</v>
      </c>
      <c r="M53" s="186">
        <f>SUMIFS('Plan prihoda za unos u SAP'!$H$3:$H$500,'Plan prihoda za unos u SAP'!$C$3:$C$500,"=559",'Plan prihoda za unos u SAP'!$K$3:$K$500,"=636")</f>
        <v>0</v>
      </c>
      <c r="N53" s="186">
        <f>SUMIFS('Plan prihoda za unos u SAP'!$H$3:$H$500,'Plan prihoda za unos u SAP'!$C$3:$C$500,"=561",'Plan prihoda za unos u SAP'!$K$3:$K$500,"=636")</f>
        <v>0</v>
      </c>
      <c r="O53" s="186">
        <f>SUMIFS('Plan prihoda za unos u SAP'!$H$3:$H$500,'Plan prihoda za unos u SAP'!$C$3:$C$500,"=563",'Plan prihoda za unos u SAP'!$K$3:$K$500,"=636")</f>
        <v>0</v>
      </c>
      <c r="P53" s="186">
        <f>SUMIFS('Plan prihoda za unos u SAP'!$H$3:$H$500,'Plan prihoda za unos u SAP'!$C$3:$C$500,"=573",'Plan prihoda za unos u SAP'!$K$3:$K$500,"=636")</f>
        <v>0</v>
      </c>
      <c r="Q53" s="186">
        <f>SUMIFS('Plan prihoda za unos u SAP'!$H$3:$H$500,'Plan prihoda za unos u SAP'!$C$3:$C$500,"=575",'Plan prihoda za unos u SAP'!$K$3:$K$500,"=636")</f>
        <v>0</v>
      </c>
      <c r="R53" s="186">
        <f>SUMIFS('Plan prihoda za unos u SAP'!$H$3:$H$500,'Plan prihoda za unos u SAP'!$C$3:$C$500,"=576",'Plan prihoda za unos u SAP'!$K$3:$K$500,"=636")</f>
        <v>0</v>
      </c>
      <c r="S53" s="186">
        <f>SUMIFS('Plan prihoda za unos u SAP'!$H$3:$H$500,'Plan prihoda za unos u SAP'!$C$3:$C$500,"=581",'Plan prihoda za unos u SAP'!$K$3:$K$500,"=636")</f>
        <v>0</v>
      </c>
      <c r="T53" s="186">
        <f>SUMIFS('Plan prihoda za unos u SAP'!$H$3:$H$500,'Plan prihoda za unos u SAP'!$C$3:$C$500,"=61",'Plan prihoda za unos u SAP'!$K$3:$K$500,"=636")</f>
        <v>0</v>
      </c>
      <c r="U53" s="186">
        <f>SUMIFS('Plan prihoda za unos u SAP'!$H$3:$H$500,'Plan prihoda za unos u SAP'!$C$3:$C$500,"=63",'Plan prihoda za unos u SAP'!$K$3:$K$500,"=636")</f>
        <v>0</v>
      </c>
      <c r="V53" s="186">
        <f>SUMIFS('Plan prihoda za unos u SAP'!$H$3:$H$500,'Plan prihoda za unos u SAP'!$C$3:$C$500,"=71",'Plan prihoda za unos u SAP'!$K$3:$K$500,"=636")</f>
        <v>0</v>
      </c>
      <c r="W53" s="186">
        <f>SUMIFS('Plan prihoda za unos u SAP'!$H$3:$H$500,'Plan prihoda za unos u SAP'!$C$3:$C$500,"=81",'Plan prihoda za unos u SAP'!$K$3:$K$500,"=636")</f>
        <v>0</v>
      </c>
    </row>
    <row r="54" spans="1:23" s="90" customFormat="1">
      <c r="A54" s="90">
        <v>2022</v>
      </c>
      <c r="B54" s="95" t="s">
        <v>280</v>
      </c>
      <c r="C54" s="96" t="s">
        <v>281</v>
      </c>
      <c r="D54" s="70">
        <f t="shared" si="11"/>
        <v>1754757</v>
      </c>
      <c r="E54" s="186">
        <f>SUMIFS('Plan prihoda za unos u SAP'!$H$3:$H$500,'Plan prihoda za unos u SAP'!$C$3:$C$500,"=11",'Plan prihoda za unos u SAP'!$K$3:$K$500,"=638")</f>
        <v>0</v>
      </c>
      <c r="F54" s="186">
        <f>SUMIFS('Plan prihoda za unos u SAP'!$H$3:$H$500,'Plan prihoda za unos u SAP'!$C$3:$C$500,"=12",'Plan prihoda za unos u SAP'!$K$3:$K$500,"=638")</f>
        <v>0</v>
      </c>
      <c r="G54" s="186">
        <f>SUMIFS('Plan prihoda za unos u SAP'!$H$3:$H$500,'Plan prihoda za unos u SAP'!$C$3:$C$500,"=31",'Plan prihoda za unos u SAP'!$K$3:$K$500,"=638")</f>
        <v>0</v>
      </c>
      <c r="H54" s="186">
        <f>SUMIFS('Plan prihoda za unos u SAP'!$H$3:$H$500,'Plan prihoda za unos u SAP'!$C$3:$C$500,"=41",'Plan prihoda za unos u SAP'!$K$3:$K$500,"=638")</f>
        <v>0</v>
      </c>
      <c r="I54" s="186">
        <f>SUMIFS('Plan prihoda za unos u SAP'!$H$3:$H$500,'Plan prihoda za unos u SAP'!$C$3:$C$500,"=43",'Plan prihoda za unos u SAP'!$K$3:$K$500,"=638")</f>
        <v>0</v>
      </c>
      <c r="J54" s="186">
        <f>SUMIFS('Plan prihoda za unos u SAP'!$H$3:$H$500,'Plan prihoda za unos u SAP'!$C$3:$C$500,"=51",'Plan prihoda za unos u SAP'!$K$3:$K$500,"=638")</f>
        <v>0</v>
      </c>
      <c r="K54" s="186">
        <f>SUMIFS('Plan prihoda za unos u SAP'!$H$3:$H$500,'Plan prihoda za unos u SAP'!$C$3:$C$500,"=52",'Plan prihoda za unos u SAP'!$K$3:$K$500,"=638")</f>
        <v>1754757</v>
      </c>
      <c r="L54" s="186">
        <f>SUMIFS('Plan prihoda za unos u SAP'!$H$3:$H$500,'Plan prihoda za unos u SAP'!$C$3:$C$500,"=552",'Plan prihoda za unos u SAP'!$K$3:$K$500,"=638")</f>
        <v>0</v>
      </c>
      <c r="M54" s="186">
        <f>SUMIFS('Plan prihoda za unos u SAP'!$H$3:$H$500,'Plan prihoda za unos u SAP'!$C$3:$C$500,"=559",'Plan prihoda za unos u SAP'!$K$3:$K$500,"=638")</f>
        <v>0</v>
      </c>
      <c r="N54" s="186">
        <f>SUMIFS('Plan prihoda za unos u SAP'!$H$3:$H$500,'Plan prihoda za unos u SAP'!$C$3:$C$500,"=561",'Plan prihoda za unos u SAP'!$K$3:$K$500,"=638")</f>
        <v>0</v>
      </c>
      <c r="O54" s="186">
        <f>SUMIFS('Plan prihoda za unos u SAP'!$H$3:$H$500,'Plan prihoda za unos u SAP'!$C$3:$C$500,"=563",'Plan prihoda za unos u SAP'!$K$3:$K$500,"=638")</f>
        <v>0</v>
      </c>
      <c r="P54" s="186">
        <f>SUMIFS('Plan prihoda za unos u SAP'!$H$3:$H$500,'Plan prihoda za unos u SAP'!$C$3:$C$500,"=573",'Plan prihoda za unos u SAP'!$K$3:$K$500,"=638")</f>
        <v>0</v>
      </c>
      <c r="Q54" s="186">
        <f>SUMIFS('Plan prihoda za unos u SAP'!$H$3:$H$500,'Plan prihoda za unos u SAP'!$C$3:$C$500,"=575",'Plan prihoda za unos u SAP'!$K$3:$K$500,"=638")</f>
        <v>0</v>
      </c>
      <c r="R54" s="186">
        <f>SUMIFS('Plan prihoda za unos u SAP'!$H$3:$H$500,'Plan prihoda za unos u SAP'!$C$3:$C$500,"=576",'Plan prihoda za unos u SAP'!$K$3:$K$500,"=638")</f>
        <v>0</v>
      </c>
      <c r="S54" s="186">
        <f>SUMIFS('Plan prihoda za unos u SAP'!$H$3:$H$500,'Plan prihoda za unos u SAP'!$C$3:$C$500,"=581",'Plan prihoda za unos u SAP'!$K$3:$K$500,"=638")</f>
        <v>0</v>
      </c>
      <c r="T54" s="186">
        <f>SUMIFS('Plan prihoda za unos u SAP'!$H$3:$H$500,'Plan prihoda za unos u SAP'!$C$3:$C$500,"=61",'Plan prihoda za unos u SAP'!$K$3:$K$500,"=638")</f>
        <v>0</v>
      </c>
      <c r="U54" s="186">
        <f>SUMIFS('Plan prihoda za unos u SAP'!$H$3:$H$500,'Plan prihoda za unos u SAP'!$C$3:$C$500,"=63",'Plan prihoda za unos u SAP'!$K$3:$K$500,"=638")</f>
        <v>0</v>
      </c>
      <c r="V54" s="186">
        <f>SUMIFS('Plan prihoda za unos u SAP'!$H$3:$H$500,'Plan prihoda za unos u SAP'!$C$3:$C$500,"=71",'Plan prihoda za unos u SAP'!$K$3:$K$500,"=638")</f>
        <v>0</v>
      </c>
      <c r="W54" s="186">
        <f>SUMIFS('Plan prihoda za unos u SAP'!$H$3:$H$500,'Plan prihoda za unos u SAP'!$C$3:$C$500,"=81",'Plan prihoda za unos u SAP'!$K$3:$K$500,"=638")</f>
        <v>0</v>
      </c>
    </row>
    <row r="55" spans="1:23" s="90" customFormat="1">
      <c r="A55" s="90">
        <v>2022</v>
      </c>
      <c r="B55" s="95" t="s">
        <v>282</v>
      </c>
      <c r="C55" s="96" t="s">
        <v>41</v>
      </c>
      <c r="D55" s="70">
        <f t="shared" si="11"/>
        <v>27140045</v>
      </c>
      <c r="E55" s="186">
        <f>SUMIFS('Plan prihoda za unos u SAP'!$H$3:$H$500,'Plan prihoda za unos u SAP'!$C$3:$C$500,"=11",'Plan prihoda za unos u SAP'!$K$3:$K$500,"=639")</f>
        <v>0</v>
      </c>
      <c r="F55" s="186">
        <f>SUMIFS('Plan prihoda za unos u SAP'!$H$3:$H$500,'Plan prihoda za unos u SAP'!$C$3:$C$500,"=12",'Plan prihoda za unos u SAP'!$K$3:$K$500,"=639")</f>
        <v>0</v>
      </c>
      <c r="G55" s="186">
        <f>SUMIFS('Plan prihoda za unos u SAP'!$H$3:$H$500,'Plan prihoda za unos u SAP'!$C$3:$C$500,"=31",'Plan prihoda za unos u SAP'!$K$3:$K$500,"=639")</f>
        <v>0</v>
      </c>
      <c r="H55" s="186">
        <f>SUMIFS('Plan prihoda za unos u SAP'!$H$3:$H$500,'Plan prihoda za unos u SAP'!$C$3:$C$500,"=41",'Plan prihoda za unos u SAP'!$K$3:$K$500,"=639")</f>
        <v>0</v>
      </c>
      <c r="I55" s="186">
        <f>SUMIFS('Plan prihoda za unos u SAP'!$H$3:$H$500,'Plan prihoda za unos u SAP'!$C$3:$C$500,"=43",'Plan prihoda za unos u SAP'!$K$3:$K$500,"=639")</f>
        <v>0</v>
      </c>
      <c r="J55" s="186">
        <f>SUMIFS('Plan prihoda za unos u SAP'!$H$3:$H$500,'Plan prihoda za unos u SAP'!$C$3:$C$500,"=51",'Plan prihoda za unos u SAP'!$K$3:$K$500,"=639")</f>
        <v>0</v>
      </c>
      <c r="K55" s="186">
        <f>SUMIFS('Plan prihoda za unos u SAP'!$H$3:$H$500,'Plan prihoda za unos u SAP'!$C$3:$C$500,"=52",'Plan prihoda za unos u SAP'!$K$3:$K$500,"=639")</f>
        <v>27140045</v>
      </c>
      <c r="L55" s="186">
        <f>SUMIFS('Plan prihoda za unos u SAP'!$H$3:$H$500,'Plan prihoda za unos u SAP'!$C$3:$C$500,"=552",'Plan prihoda za unos u SAP'!$K$3:$K$500,"=639")</f>
        <v>0</v>
      </c>
      <c r="M55" s="186">
        <f>SUMIFS('Plan prihoda za unos u SAP'!$H$3:$H$500,'Plan prihoda za unos u SAP'!$C$3:$C$500,"=559",'Plan prihoda za unos u SAP'!$K$3:$K$500,"=639")</f>
        <v>0</v>
      </c>
      <c r="N55" s="186">
        <f>SUMIFS('Plan prihoda za unos u SAP'!$H$3:$H$500,'Plan prihoda za unos u SAP'!$C$3:$C$500,"=561",'Plan prihoda za unos u SAP'!$K$3:$K$500,"=639")</f>
        <v>0</v>
      </c>
      <c r="O55" s="186">
        <f>SUMIFS('Plan prihoda za unos u SAP'!$H$3:$H$500,'Plan prihoda za unos u SAP'!$C$3:$C$500,"=563",'Plan prihoda za unos u SAP'!$K$3:$K$500,"=639")</f>
        <v>0</v>
      </c>
      <c r="P55" s="186">
        <f>SUMIFS('Plan prihoda za unos u SAP'!$H$3:$H$500,'Plan prihoda za unos u SAP'!$C$3:$C$500,"=573",'Plan prihoda za unos u SAP'!$K$3:$K$500,"=639")</f>
        <v>0</v>
      </c>
      <c r="Q55" s="186">
        <f>SUMIFS('Plan prihoda za unos u SAP'!$H$3:$H$500,'Plan prihoda za unos u SAP'!$C$3:$C$500,"=575",'Plan prihoda za unos u SAP'!$K$3:$K$500,"=639")</f>
        <v>0</v>
      </c>
      <c r="R55" s="186">
        <f>SUMIFS('Plan prihoda za unos u SAP'!$H$3:$H$500,'Plan prihoda za unos u SAP'!$C$3:$C$500,"=576",'Plan prihoda za unos u SAP'!$K$3:$K$500,"=639")</f>
        <v>0</v>
      </c>
      <c r="S55" s="186">
        <f>SUMIFS('Plan prihoda za unos u SAP'!$H$3:$H$500,'Plan prihoda za unos u SAP'!$C$3:$C$500,"=581",'Plan prihoda za unos u SAP'!$K$3:$K$500,"=639")</f>
        <v>0</v>
      </c>
      <c r="T55" s="186">
        <f>SUMIFS('Plan prihoda za unos u SAP'!$H$3:$H$500,'Plan prihoda za unos u SAP'!$C$3:$C$500,"=61",'Plan prihoda za unos u SAP'!$K$3:$K$500,"=639")</f>
        <v>0</v>
      </c>
      <c r="U55" s="186">
        <f>SUMIFS('Plan prihoda za unos u SAP'!$H$3:$H$500,'Plan prihoda za unos u SAP'!$C$3:$C$500,"=63",'Plan prihoda za unos u SAP'!$K$3:$K$500,"=639")</f>
        <v>0</v>
      </c>
      <c r="V55" s="186">
        <f>SUMIFS('Plan prihoda za unos u SAP'!$H$3:$H$500,'Plan prihoda za unos u SAP'!$C$3:$C$500,"=71",'Plan prihoda za unos u SAP'!$K$3:$K$500,"=639")</f>
        <v>0</v>
      </c>
      <c r="W55" s="186">
        <f>SUMIFS('Plan prihoda za unos u SAP'!$H$3:$H$500,'Plan prihoda za unos u SAP'!$C$3:$C$500,"=81",'Plan prihoda za unos u SAP'!$K$3:$K$500,"=639")</f>
        <v>0</v>
      </c>
    </row>
    <row r="56" spans="1:23" s="90" customFormat="1">
      <c r="A56" s="90">
        <v>2022</v>
      </c>
      <c r="B56" s="95" t="s">
        <v>283</v>
      </c>
      <c r="C56" s="96" t="s">
        <v>284</v>
      </c>
      <c r="D56" s="70">
        <f t="shared" si="11"/>
        <v>107000</v>
      </c>
      <c r="E56" s="186">
        <f>SUMIFS('Plan prihoda za unos u SAP'!$H$3:$H$500,'Plan prihoda za unos u SAP'!$C$3:$C$500,"=11",'Plan prihoda za unos u SAP'!$K$3:$K$500,"=641")</f>
        <v>0</v>
      </c>
      <c r="F56" s="186">
        <f>SUMIFS('Plan prihoda za unos u SAP'!$H$3:$H$500,'Plan prihoda za unos u SAP'!$C$3:$C$500,"=12",'Plan prihoda za unos u SAP'!$K$3:$K$500,"=641")</f>
        <v>0</v>
      </c>
      <c r="G56" s="186">
        <f>SUMIFS('Plan prihoda za unos u SAP'!$H$3:$H$500,'Plan prihoda za unos u SAP'!$C$3:$C$500,"=31",'Plan prihoda za unos u SAP'!$K$3:$K$500,"=641")</f>
        <v>107000</v>
      </c>
      <c r="H56" s="186">
        <f>SUMIFS('Plan prihoda za unos u SAP'!$H$3:$H$500,'Plan prihoda za unos u SAP'!$C$3:$C$500,"=41",'Plan prihoda za unos u SAP'!$K$3:$K$500,"=641")</f>
        <v>0</v>
      </c>
      <c r="I56" s="186">
        <f>SUMIFS('Plan prihoda za unos u SAP'!$H$3:$H$500,'Plan prihoda za unos u SAP'!$C$3:$C$500,"=43",'Plan prihoda za unos u SAP'!$K$3:$K$500,"=641")</f>
        <v>0</v>
      </c>
      <c r="J56" s="186">
        <f>SUMIFS('Plan prihoda za unos u SAP'!$H$3:$H$500,'Plan prihoda za unos u SAP'!$C$3:$C$500,"=51",'Plan prihoda za unos u SAP'!$K$3:$K$500,"=641")</f>
        <v>0</v>
      </c>
      <c r="K56" s="186">
        <f>SUMIFS('Plan prihoda za unos u SAP'!$H$3:$H$500,'Plan prihoda za unos u SAP'!$C$3:$C$500,"=52",'Plan prihoda za unos u SAP'!$K$3:$K$500,"=641")</f>
        <v>0</v>
      </c>
      <c r="L56" s="186">
        <f>SUMIFS('Plan prihoda za unos u SAP'!$H$3:$H$500,'Plan prihoda za unos u SAP'!$C$3:$C$500,"=552",'Plan prihoda za unos u SAP'!$K$3:$K$500,"=641")</f>
        <v>0</v>
      </c>
      <c r="M56" s="186">
        <f>SUMIFS('Plan prihoda za unos u SAP'!$H$3:$H$500,'Plan prihoda za unos u SAP'!$C$3:$C$500,"=559",'Plan prihoda za unos u SAP'!$K$3:$K$500,"=641")</f>
        <v>0</v>
      </c>
      <c r="N56" s="186">
        <f>SUMIFS('Plan prihoda za unos u SAP'!$H$3:$H$500,'Plan prihoda za unos u SAP'!$C$3:$C$500,"=561",'Plan prihoda za unos u SAP'!$K$3:$K$500,"=641")</f>
        <v>0</v>
      </c>
      <c r="O56" s="186">
        <f>SUMIFS('Plan prihoda za unos u SAP'!$H$3:$H$500,'Plan prihoda za unos u SAP'!$C$3:$C$500,"=563",'Plan prihoda za unos u SAP'!$K$3:$K$500,"=641")</f>
        <v>0</v>
      </c>
      <c r="P56" s="186">
        <f>SUMIFS('Plan prihoda za unos u SAP'!$H$3:$H$500,'Plan prihoda za unos u SAP'!$C$3:$C$500,"=573",'Plan prihoda za unos u SAP'!$K$3:$K$500,"=641")</f>
        <v>0</v>
      </c>
      <c r="Q56" s="186">
        <f>SUMIFS('Plan prihoda za unos u SAP'!$H$3:$H$500,'Plan prihoda za unos u SAP'!$C$3:$C$500,"=575",'Plan prihoda za unos u SAP'!$K$3:$K$500,"=641")</f>
        <v>0</v>
      </c>
      <c r="R56" s="186">
        <f>SUMIFS('Plan prihoda za unos u SAP'!$H$3:$H$500,'Plan prihoda za unos u SAP'!$C$3:$C$500,"=576",'Plan prihoda za unos u SAP'!$K$3:$K$500,"=641")</f>
        <v>0</v>
      </c>
      <c r="S56" s="186">
        <f>SUMIFS('Plan prihoda za unos u SAP'!$H$3:$H$500,'Plan prihoda za unos u SAP'!$C$3:$C$500,"=581",'Plan prihoda za unos u SAP'!$K$3:$K$500,"=641")</f>
        <v>0</v>
      </c>
      <c r="T56" s="186">
        <f>SUMIFS('Plan prihoda za unos u SAP'!$H$3:$H$500,'Plan prihoda za unos u SAP'!$C$3:$C$500,"=61",'Plan prihoda za unos u SAP'!$K$3:$K$500,"=641")</f>
        <v>0</v>
      </c>
      <c r="U56" s="186">
        <f>SUMIFS('Plan prihoda za unos u SAP'!$H$3:$H$500,'Plan prihoda za unos u SAP'!$C$3:$C$500,"=63",'Plan prihoda za unos u SAP'!$K$3:$K$500,"=641")</f>
        <v>0</v>
      </c>
      <c r="V56" s="186">
        <f>SUMIFS('Plan prihoda za unos u SAP'!$H$3:$H$500,'Plan prihoda za unos u SAP'!$C$3:$C$500,"=71",'Plan prihoda za unos u SAP'!$K$3:$K$500,"=641")</f>
        <v>0</v>
      </c>
      <c r="W56" s="186">
        <f>SUMIFS('Plan prihoda za unos u SAP'!$H$3:$H$500,'Plan prihoda za unos u SAP'!$C$3:$C$500,"=81",'Plan prihoda za unos u SAP'!$K$3:$K$500,"=641")</f>
        <v>0</v>
      </c>
    </row>
    <row r="57" spans="1:23" s="90" customFormat="1">
      <c r="A57" s="90">
        <v>2022</v>
      </c>
      <c r="B57" s="95" t="s">
        <v>285</v>
      </c>
      <c r="C57" s="96" t="s">
        <v>286</v>
      </c>
      <c r="D57" s="70">
        <f t="shared" si="11"/>
        <v>0</v>
      </c>
      <c r="E57" s="186">
        <f>SUMIFS('Plan prihoda za unos u SAP'!$H$3:$H$500,'Plan prihoda za unos u SAP'!$C$3:$C$500,"=11",'Plan prihoda za unos u SAP'!$K$3:$K$500,"=642")</f>
        <v>0</v>
      </c>
      <c r="F57" s="186">
        <f>SUMIFS('Plan prihoda za unos u SAP'!$H$3:$H$500,'Plan prihoda za unos u SAP'!$C$3:$C$500,"=12",'Plan prihoda za unos u SAP'!$K$3:$K$500,"=642")</f>
        <v>0</v>
      </c>
      <c r="G57" s="186">
        <f>SUMIFS('Plan prihoda za unos u SAP'!$H$3:$H$500,'Plan prihoda za unos u SAP'!$C$3:$C$500,"=31",'Plan prihoda za unos u SAP'!$K$3:$K$500,"=642")</f>
        <v>0</v>
      </c>
      <c r="H57" s="186">
        <f>SUMIFS('Plan prihoda za unos u SAP'!$H$3:$H$500,'Plan prihoda za unos u SAP'!$C$3:$C$500,"=41",'Plan prihoda za unos u SAP'!$K$3:$K$500,"=642")</f>
        <v>0</v>
      </c>
      <c r="I57" s="186">
        <f>SUMIFS('Plan prihoda za unos u SAP'!$H$3:$H$500,'Plan prihoda za unos u SAP'!$C$3:$C$500,"=43",'Plan prihoda za unos u SAP'!$K$3:$K$500,"=642")</f>
        <v>0</v>
      </c>
      <c r="J57" s="186">
        <f>SUMIFS('Plan prihoda za unos u SAP'!$H$3:$H$500,'Plan prihoda za unos u SAP'!$C$3:$C$500,"=51",'Plan prihoda za unos u SAP'!$K$3:$K$500,"=642")</f>
        <v>0</v>
      </c>
      <c r="K57" s="186">
        <f>SUMIFS('Plan prihoda za unos u SAP'!$H$3:$H$500,'Plan prihoda za unos u SAP'!$C$3:$C$500,"=52",'Plan prihoda za unos u SAP'!$K$3:$K$500,"=642")</f>
        <v>0</v>
      </c>
      <c r="L57" s="186">
        <f>SUMIFS('Plan prihoda za unos u SAP'!$H$3:$H$500,'Plan prihoda za unos u SAP'!$C$3:$C$500,"=552",'Plan prihoda za unos u SAP'!$K$3:$K$500,"=642")</f>
        <v>0</v>
      </c>
      <c r="M57" s="186">
        <f>SUMIFS('Plan prihoda za unos u SAP'!$H$3:$H$500,'Plan prihoda za unos u SAP'!$C$3:$C$500,"=559",'Plan prihoda za unos u SAP'!$K$3:$K$500,"=642")</f>
        <v>0</v>
      </c>
      <c r="N57" s="186">
        <f>SUMIFS('Plan prihoda za unos u SAP'!$H$3:$H$500,'Plan prihoda za unos u SAP'!$C$3:$C$500,"=561",'Plan prihoda za unos u SAP'!$K$3:$K$500,"=642")</f>
        <v>0</v>
      </c>
      <c r="O57" s="186">
        <f>SUMIFS('Plan prihoda za unos u SAP'!$H$3:$H$500,'Plan prihoda za unos u SAP'!$C$3:$C$500,"=563",'Plan prihoda za unos u SAP'!$K$3:$K$500,"=642")</f>
        <v>0</v>
      </c>
      <c r="P57" s="186">
        <f>SUMIFS('Plan prihoda za unos u SAP'!$H$3:$H$500,'Plan prihoda za unos u SAP'!$C$3:$C$500,"=573",'Plan prihoda za unos u SAP'!$K$3:$K$500,"=642")</f>
        <v>0</v>
      </c>
      <c r="Q57" s="186">
        <f>SUMIFS('Plan prihoda za unos u SAP'!$H$3:$H$500,'Plan prihoda za unos u SAP'!$C$3:$C$500,"=575",'Plan prihoda za unos u SAP'!$K$3:$K$500,"=642")</f>
        <v>0</v>
      </c>
      <c r="R57" s="186">
        <f>SUMIFS('Plan prihoda za unos u SAP'!$H$3:$H$500,'Plan prihoda za unos u SAP'!$C$3:$C$500,"=576",'Plan prihoda za unos u SAP'!$K$3:$K$500,"=642")</f>
        <v>0</v>
      </c>
      <c r="S57" s="186">
        <f>SUMIFS('Plan prihoda za unos u SAP'!$H$3:$H$500,'Plan prihoda za unos u SAP'!$C$3:$C$500,"=581",'Plan prihoda za unos u SAP'!$K$3:$K$500,"=642")</f>
        <v>0</v>
      </c>
      <c r="T57" s="186">
        <f>SUMIFS('Plan prihoda za unos u SAP'!$H$3:$H$500,'Plan prihoda za unos u SAP'!$C$3:$C$500,"=61",'Plan prihoda za unos u SAP'!$K$3:$K$500,"=642")</f>
        <v>0</v>
      </c>
      <c r="U57" s="186">
        <f>SUMIFS('Plan prihoda za unos u SAP'!$H$3:$H$500,'Plan prihoda za unos u SAP'!$C$3:$C$500,"=63",'Plan prihoda za unos u SAP'!$K$3:$K$500,"=642")</f>
        <v>0</v>
      </c>
      <c r="V57" s="186">
        <f>SUMIFS('Plan prihoda za unos u SAP'!$H$3:$H$500,'Plan prihoda za unos u SAP'!$C$3:$C$500,"=71",'Plan prihoda za unos u SAP'!$K$3:$K$500,"=642")</f>
        <v>0</v>
      </c>
      <c r="W57" s="186">
        <f>SUMIFS('Plan prihoda za unos u SAP'!$H$3:$H$500,'Plan prihoda za unos u SAP'!$C$3:$C$500,"=81",'Plan prihoda za unos u SAP'!$K$3:$K$500,"=642")</f>
        <v>0</v>
      </c>
    </row>
    <row r="58" spans="1:23" s="90" customFormat="1">
      <c r="A58" s="90">
        <v>2022</v>
      </c>
      <c r="B58" s="203" t="s">
        <v>738</v>
      </c>
      <c r="C58" s="96" t="s">
        <v>737</v>
      </c>
      <c r="D58" s="70">
        <f t="shared" si="11"/>
        <v>0</v>
      </c>
      <c r="E58" s="186">
        <f>SUMIFS('Plan prihoda za unos u SAP'!$H$3:$H$500,'Plan prihoda za unos u SAP'!$C$3:$C$500,"=11",'Plan prihoda za unos u SAP'!$K$3:$K$500,"=651")</f>
        <v>0</v>
      </c>
      <c r="F58" s="186">
        <f>SUMIFS('Plan prihoda za unos u SAP'!$H$3:$H$500,'Plan prihoda za unos u SAP'!$C$3:$C$500,"=12",'Plan prihoda za unos u SAP'!$K$3:$K$500,"=651")</f>
        <v>0</v>
      </c>
      <c r="G58" s="186">
        <f>SUMIFS('Plan prihoda za unos u SAP'!$H$3:$H$500,'Plan prihoda za unos u SAP'!$C$3:$C$500,"=31",'Plan prihoda za unos u SAP'!$K$3:$K$500,"=651")</f>
        <v>0</v>
      </c>
      <c r="H58" s="186">
        <f>SUMIFS('Plan prihoda za unos u SAP'!$H$3:$H$500,'Plan prihoda za unos u SAP'!$C$3:$C$500,"=41",'Plan prihoda za unos u SAP'!$K$3:$K$500,"=651")</f>
        <v>0</v>
      </c>
      <c r="I58" s="186">
        <f>SUMIFS('Plan prihoda za unos u SAP'!$H$3:$H$500,'Plan prihoda za unos u SAP'!$C$3:$C$500,"=43",'Plan prihoda za unos u SAP'!$K$3:$K$500,"=651")</f>
        <v>0</v>
      </c>
      <c r="J58" s="186">
        <f>SUMIFS('Plan prihoda za unos u SAP'!$H$3:$H$500,'Plan prihoda za unos u SAP'!$C$3:$C$500,"=51",'Plan prihoda za unos u SAP'!$K$3:$K$500,"=651")</f>
        <v>0</v>
      </c>
      <c r="K58" s="186">
        <f>SUMIFS('Plan prihoda za unos u SAP'!$H$3:$H$500,'Plan prihoda za unos u SAP'!$C$3:$C$500,"=52",'Plan prihoda za unos u SAP'!$K$3:$K$500,"=651")</f>
        <v>0</v>
      </c>
      <c r="L58" s="186">
        <f>SUMIFS('Plan prihoda za unos u SAP'!$H$3:$H$500,'Plan prihoda za unos u SAP'!$C$3:$C$500,"=552",'Plan prihoda za unos u SAP'!$K$3:$K$500,"=651")</f>
        <v>0</v>
      </c>
      <c r="M58" s="186">
        <f>SUMIFS('Plan prihoda za unos u SAP'!$H$3:$H$500,'Plan prihoda za unos u SAP'!$C$3:$C$500,"=559",'Plan prihoda za unos u SAP'!$K$3:$K$500,"=651")</f>
        <v>0</v>
      </c>
      <c r="N58" s="186">
        <f>SUMIFS('Plan prihoda za unos u SAP'!$H$3:$H$500,'Plan prihoda za unos u SAP'!$C$3:$C$500,"=561",'Plan prihoda za unos u SAP'!$K$3:$K$500,"=651")</f>
        <v>0</v>
      </c>
      <c r="O58" s="186">
        <f>SUMIFS('Plan prihoda za unos u SAP'!$H$3:$H$500,'Plan prihoda za unos u SAP'!$C$3:$C$500,"=563",'Plan prihoda za unos u SAP'!$K$3:$K$500,"=651")</f>
        <v>0</v>
      </c>
      <c r="P58" s="186">
        <f>SUMIFS('Plan prihoda za unos u SAP'!$H$3:$H$500,'Plan prihoda za unos u SAP'!$C$3:$C$500,"=573",'Plan prihoda za unos u SAP'!$K$3:$K$500,"=651")</f>
        <v>0</v>
      </c>
      <c r="Q58" s="186">
        <f>SUMIFS('Plan prihoda za unos u SAP'!$H$3:$H$500,'Plan prihoda za unos u SAP'!$C$3:$C$500,"=575",'Plan prihoda za unos u SAP'!$K$3:$K$500,"=651")</f>
        <v>0</v>
      </c>
      <c r="R58" s="186">
        <f>SUMIFS('Plan prihoda za unos u SAP'!$H$3:$H$500,'Plan prihoda za unos u SAP'!$C$3:$C$500,"=576",'Plan prihoda za unos u SAP'!$K$3:$K$500,"=651")</f>
        <v>0</v>
      </c>
      <c r="S58" s="186">
        <f>SUMIFS('Plan prihoda za unos u SAP'!$H$3:$H$500,'Plan prihoda za unos u SAP'!$C$3:$C$500,"=581",'Plan prihoda za unos u SAP'!$K$3:$K$500,"=651")</f>
        <v>0</v>
      </c>
      <c r="T58" s="186">
        <f>SUMIFS('Plan prihoda za unos u SAP'!$H$3:$H$500,'Plan prihoda za unos u SAP'!$C$3:$C$500,"=61",'Plan prihoda za unos u SAP'!$K$3:$K$500,"=651")</f>
        <v>0</v>
      </c>
      <c r="U58" s="186">
        <f>SUMIFS('Plan prihoda za unos u SAP'!$H$3:$H$500,'Plan prihoda za unos u SAP'!$C$3:$C$500,"=63",'Plan prihoda za unos u SAP'!$K$3:$K$500,"=651")</f>
        <v>0</v>
      </c>
      <c r="V58" s="186">
        <f>SUMIFS('Plan prihoda za unos u SAP'!$H$3:$H$500,'Plan prihoda za unos u SAP'!$C$3:$C$500,"=71",'Plan prihoda za unos u SAP'!$K$3:$K$500,"=651")</f>
        <v>0</v>
      </c>
      <c r="W58" s="186">
        <f>SUMIFS('Plan prihoda za unos u SAP'!$H$3:$H$500,'Plan prihoda za unos u SAP'!$C$3:$C$500,"=81",'Plan prihoda za unos u SAP'!$K$3:$K$500,"=651")</f>
        <v>0</v>
      </c>
    </row>
    <row r="59" spans="1:23" s="90" customFormat="1">
      <c r="A59" s="90">
        <v>2022</v>
      </c>
      <c r="B59" s="95" t="s">
        <v>287</v>
      </c>
      <c r="C59" s="96" t="s">
        <v>288</v>
      </c>
      <c r="D59" s="70">
        <f t="shared" si="11"/>
        <v>15000000</v>
      </c>
      <c r="E59" s="186">
        <f>SUMIFS('Plan prihoda za unos u SAP'!$H$3:$H$500,'Plan prihoda za unos u SAP'!$C$3:$C$500,"=11",'Plan prihoda za unos u SAP'!$K$3:$K$500,"=652")</f>
        <v>0</v>
      </c>
      <c r="F59" s="186">
        <f>SUMIFS('Plan prihoda za unos u SAP'!$H$3:$H$500,'Plan prihoda za unos u SAP'!$C$3:$C$500,"=12",'Plan prihoda za unos u SAP'!$K$3:$K$500,"=652")</f>
        <v>0</v>
      </c>
      <c r="G59" s="186">
        <f>SUMIFS('Plan prihoda za unos u SAP'!$H$3:$H$500,'Plan prihoda za unos u SAP'!$C$3:$C$500,"=31",'Plan prihoda za unos u SAP'!$K$3:$K$500,"=652")</f>
        <v>0</v>
      </c>
      <c r="H59" s="186">
        <f>SUMIFS('Plan prihoda za unos u SAP'!$H$3:$H$500,'Plan prihoda za unos u SAP'!$C$3:$C$500,"=41",'Plan prihoda za unos u SAP'!$K$3:$K$500,"=652")</f>
        <v>0</v>
      </c>
      <c r="I59" s="186">
        <f>SUMIFS('Plan prihoda za unos u SAP'!$H$3:$H$500,'Plan prihoda za unos u SAP'!$C$3:$C$500,"=43",'Plan prihoda za unos u SAP'!$K$3:$K$500,"=652")</f>
        <v>15000000</v>
      </c>
      <c r="J59" s="186">
        <f>SUMIFS('Plan prihoda za unos u SAP'!$H$3:$H$500,'Plan prihoda za unos u SAP'!$C$3:$C$500,"=51",'Plan prihoda za unos u SAP'!$K$3:$K$500,"=652")</f>
        <v>0</v>
      </c>
      <c r="K59" s="186">
        <f>SUMIFS('Plan prihoda za unos u SAP'!$H$3:$H$500,'Plan prihoda za unos u SAP'!$C$3:$C$500,"=52",'Plan prihoda za unos u SAP'!$K$3:$K$500,"=652")</f>
        <v>0</v>
      </c>
      <c r="L59" s="186">
        <f>SUMIFS('Plan prihoda za unos u SAP'!$H$3:$H$500,'Plan prihoda za unos u SAP'!$C$3:$C$500,"=552",'Plan prihoda za unos u SAP'!$K$3:$K$500,"=652")</f>
        <v>0</v>
      </c>
      <c r="M59" s="186">
        <f>SUMIFS('Plan prihoda za unos u SAP'!$H$3:$H$500,'Plan prihoda za unos u SAP'!$C$3:$C$500,"=559",'Plan prihoda za unos u SAP'!$K$3:$K$500,"=652")</f>
        <v>0</v>
      </c>
      <c r="N59" s="186">
        <f>SUMIFS('Plan prihoda za unos u SAP'!$H$3:$H$500,'Plan prihoda za unos u SAP'!$C$3:$C$500,"=561",'Plan prihoda za unos u SAP'!$K$3:$K$500,"=652")</f>
        <v>0</v>
      </c>
      <c r="O59" s="186">
        <f>SUMIFS('Plan prihoda za unos u SAP'!$H$3:$H$500,'Plan prihoda za unos u SAP'!$C$3:$C$500,"=563",'Plan prihoda za unos u SAP'!$K$3:$K$500,"=652")</f>
        <v>0</v>
      </c>
      <c r="P59" s="186">
        <f>SUMIFS('Plan prihoda za unos u SAP'!$H$3:$H$500,'Plan prihoda za unos u SAP'!$C$3:$C$500,"=573",'Plan prihoda za unos u SAP'!$K$3:$K$500,"=652")</f>
        <v>0</v>
      </c>
      <c r="Q59" s="186">
        <f>SUMIFS('Plan prihoda za unos u SAP'!$H$3:$H$500,'Plan prihoda za unos u SAP'!$C$3:$C$500,"=575",'Plan prihoda za unos u SAP'!$K$3:$K$500,"=652")</f>
        <v>0</v>
      </c>
      <c r="R59" s="186">
        <f>SUMIFS('Plan prihoda za unos u SAP'!$H$3:$H$500,'Plan prihoda za unos u SAP'!$C$3:$C$500,"=576",'Plan prihoda za unos u SAP'!$K$3:$K$500,"=652")</f>
        <v>0</v>
      </c>
      <c r="S59" s="186">
        <f>SUMIFS('Plan prihoda za unos u SAP'!$H$3:$H$500,'Plan prihoda za unos u SAP'!$C$3:$C$500,"=581",'Plan prihoda za unos u SAP'!$K$3:$K$500,"=652")</f>
        <v>0</v>
      </c>
      <c r="T59" s="186">
        <f>SUMIFS('Plan prihoda za unos u SAP'!$H$3:$H$500,'Plan prihoda za unos u SAP'!$C$3:$C$500,"=61",'Plan prihoda za unos u SAP'!$K$3:$K$500,"=652")</f>
        <v>0</v>
      </c>
      <c r="U59" s="186">
        <f>SUMIFS('Plan prihoda za unos u SAP'!$H$3:$H$500,'Plan prihoda za unos u SAP'!$C$3:$C$500,"=63",'Plan prihoda za unos u SAP'!$K$3:$K$500,"=652")</f>
        <v>0</v>
      </c>
      <c r="V59" s="186">
        <f>SUMIFS('Plan prihoda za unos u SAP'!$H$3:$H$500,'Plan prihoda za unos u SAP'!$C$3:$C$500,"=71",'Plan prihoda za unos u SAP'!$K$3:$K$500,"=652")</f>
        <v>0</v>
      </c>
      <c r="W59" s="186">
        <f>SUMIFS('Plan prihoda za unos u SAP'!$H$3:$H$500,'Plan prihoda za unos u SAP'!$C$3:$C$500,"=81",'Plan prihoda za unos u SAP'!$K$3:$K$500,"=652")</f>
        <v>0</v>
      </c>
    </row>
    <row r="60" spans="1:23" s="90" customFormat="1">
      <c r="A60" s="90">
        <v>2022</v>
      </c>
      <c r="B60" s="95" t="s">
        <v>289</v>
      </c>
      <c r="C60" s="96" t="s">
        <v>290</v>
      </c>
      <c r="D60" s="70">
        <f t="shared" si="11"/>
        <v>12350000</v>
      </c>
      <c r="E60" s="186">
        <f>SUMIFS('Plan prihoda za unos u SAP'!$H$3:$H$500,'Plan prihoda za unos u SAP'!$C$3:$C$500,"=11",'Plan prihoda za unos u SAP'!$K$3:$K$500,"=661")</f>
        <v>0</v>
      </c>
      <c r="F60" s="186">
        <f>SUMIFS('Plan prihoda za unos u SAP'!$H$3:$H$500,'Plan prihoda za unos u SAP'!$C$3:$C$500,"=12",'Plan prihoda za unos u SAP'!$K$3:$K$500,"=661")</f>
        <v>0</v>
      </c>
      <c r="G60" s="186">
        <f>SUMIFS('Plan prihoda za unos u SAP'!$H$3:$H$500,'Plan prihoda za unos u SAP'!$C$3:$C$500,"=31",'Plan prihoda za unos u SAP'!$K$3:$K$500,"=661")</f>
        <v>12350000</v>
      </c>
      <c r="H60" s="186">
        <f>SUMIFS('Plan prihoda za unos u SAP'!$H$3:$H$500,'Plan prihoda za unos u SAP'!$C$3:$C$500,"=41",'Plan prihoda za unos u SAP'!$K$3:$K$500,"=661")</f>
        <v>0</v>
      </c>
      <c r="I60" s="186">
        <f>SUMIFS('Plan prihoda za unos u SAP'!$H$3:$H$500,'Plan prihoda za unos u SAP'!$C$3:$C$500,"=43",'Plan prihoda za unos u SAP'!$K$3:$K$500,"=661")</f>
        <v>0</v>
      </c>
      <c r="J60" s="186">
        <f>SUMIFS('Plan prihoda za unos u SAP'!$H$3:$H$500,'Plan prihoda za unos u SAP'!$C$3:$C$500,"=51",'Plan prihoda za unos u SAP'!$K$3:$K$500,"=661")</f>
        <v>0</v>
      </c>
      <c r="K60" s="186">
        <f>SUMIFS('Plan prihoda za unos u SAP'!$H$3:$H$500,'Plan prihoda za unos u SAP'!$C$3:$C$500,"=52",'Plan prihoda za unos u SAP'!$K$3:$K$500,"=661")</f>
        <v>0</v>
      </c>
      <c r="L60" s="186">
        <f>SUMIFS('Plan prihoda za unos u SAP'!$H$3:$H$500,'Plan prihoda za unos u SAP'!$C$3:$C$500,"=552",'Plan prihoda za unos u SAP'!$K$3:$K$500,"=661")</f>
        <v>0</v>
      </c>
      <c r="M60" s="186">
        <f>SUMIFS('Plan prihoda za unos u SAP'!$H$3:$H$500,'Plan prihoda za unos u SAP'!$C$3:$C$500,"=559",'Plan prihoda za unos u SAP'!$K$3:$K$500,"=661")</f>
        <v>0</v>
      </c>
      <c r="N60" s="186">
        <f>SUMIFS('Plan prihoda za unos u SAP'!$H$3:$H$500,'Plan prihoda za unos u SAP'!$C$3:$C$500,"=561",'Plan prihoda za unos u SAP'!$K$3:$K$500,"=661")</f>
        <v>0</v>
      </c>
      <c r="O60" s="186">
        <f>SUMIFS('Plan prihoda za unos u SAP'!$H$3:$H$500,'Plan prihoda za unos u SAP'!$C$3:$C$500,"=563",'Plan prihoda za unos u SAP'!$K$3:$K$500,"=661")</f>
        <v>0</v>
      </c>
      <c r="P60" s="186">
        <f>SUMIFS('Plan prihoda za unos u SAP'!$H$3:$H$500,'Plan prihoda za unos u SAP'!$C$3:$C$500,"=573",'Plan prihoda za unos u SAP'!$K$3:$K$500,"=661")</f>
        <v>0</v>
      </c>
      <c r="Q60" s="186">
        <f>SUMIFS('Plan prihoda za unos u SAP'!$H$3:$H$500,'Plan prihoda za unos u SAP'!$C$3:$C$500,"=575",'Plan prihoda za unos u SAP'!$K$3:$K$500,"=661")</f>
        <v>0</v>
      </c>
      <c r="R60" s="186">
        <f>SUMIFS('Plan prihoda za unos u SAP'!$H$3:$H$500,'Plan prihoda za unos u SAP'!$C$3:$C$500,"=576",'Plan prihoda za unos u SAP'!$K$3:$K$500,"=661")</f>
        <v>0</v>
      </c>
      <c r="S60" s="186">
        <f>SUMIFS('Plan prihoda za unos u SAP'!$H$3:$H$500,'Plan prihoda za unos u SAP'!$C$3:$C$500,"=581",'Plan prihoda za unos u SAP'!$K$3:$K$500,"=661")</f>
        <v>0</v>
      </c>
      <c r="T60" s="186">
        <f>SUMIFS('Plan prihoda za unos u SAP'!$H$3:$H$500,'Plan prihoda za unos u SAP'!$C$3:$C$500,"=61",'Plan prihoda za unos u SAP'!$K$3:$K$500,"=661")</f>
        <v>0</v>
      </c>
      <c r="U60" s="186">
        <f>SUMIFS('Plan prihoda za unos u SAP'!$H$3:$H$500,'Plan prihoda za unos u SAP'!$C$3:$C$500,"=63",'Plan prihoda za unos u SAP'!$K$3:$K$500,"=661")</f>
        <v>0</v>
      </c>
      <c r="V60" s="186">
        <f>SUMIFS('Plan prihoda za unos u SAP'!$H$3:$H$500,'Plan prihoda za unos u SAP'!$C$3:$C$500,"=71",'Plan prihoda za unos u SAP'!$K$3:$K$500,"=661")</f>
        <v>0</v>
      </c>
      <c r="W60" s="186">
        <f>SUMIFS('Plan prihoda za unos u SAP'!$H$3:$H$500,'Plan prihoda za unos u SAP'!$C$3:$C$500,"=81",'Plan prihoda za unos u SAP'!$K$3:$K$500,"=661")</f>
        <v>0</v>
      </c>
    </row>
    <row r="61" spans="1:23" s="90" customFormat="1">
      <c r="A61" s="90">
        <v>2022</v>
      </c>
      <c r="B61" s="95" t="s">
        <v>291</v>
      </c>
      <c r="C61" s="96" t="s">
        <v>292</v>
      </c>
      <c r="D61" s="70">
        <f t="shared" si="11"/>
        <v>817977</v>
      </c>
      <c r="E61" s="186">
        <f>SUMIFS('Plan prihoda za unos u SAP'!$H$3:$H$500,'Plan prihoda za unos u SAP'!$C$3:$C$500,"=11",'Plan prihoda za unos u SAP'!$K$3:$K$500,"=663")</f>
        <v>0</v>
      </c>
      <c r="F61" s="186">
        <f>SUMIFS('Plan prihoda za unos u SAP'!$H$3:$H$500,'Plan prihoda za unos u SAP'!$C$3:$C$500,"=12",'Plan prihoda za unos u SAP'!$K$3:$K$500,"=663")</f>
        <v>0</v>
      </c>
      <c r="G61" s="186">
        <f>SUMIFS('Plan prihoda za unos u SAP'!$H$3:$H$500,'Plan prihoda za unos u SAP'!$C$3:$C$500,"=31",'Plan prihoda za unos u SAP'!$K$3:$K$500,"=663")</f>
        <v>0</v>
      </c>
      <c r="H61" s="186">
        <f>SUMIFS('Plan prihoda za unos u SAP'!$H$3:$H$500,'Plan prihoda za unos u SAP'!$C$3:$C$500,"=41",'Plan prihoda za unos u SAP'!$K$3:$K$500,"=663")</f>
        <v>0</v>
      </c>
      <c r="I61" s="186">
        <f>SUMIFS('Plan prihoda za unos u SAP'!$H$3:$H$500,'Plan prihoda za unos u SAP'!$C$3:$C$500,"=43",'Plan prihoda za unos u SAP'!$K$3:$K$500,"=663")</f>
        <v>0</v>
      </c>
      <c r="J61" s="186">
        <f>SUMIFS('Plan prihoda za unos u SAP'!$H$3:$H$500,'Plan prihoda za unos u SAP'!$C$3:$C$500,"=51",'Plan prihoda za unos u SAP'!$K$3:$K$500,"=663")</f>
        <v>0</v>
      </c>
      <c r="K61" s="186">
        <f>SUMIFS('Plan prihoda za unos u SAP'!$H$3:$H$500,'Plan prihoda za unos u SAP'!$C$3:$C$500,"=52",'Plan prihoda za unos u SAP'!$K$3:$K$500,"=663")</f>
        <v>0</v>
      </c>
      <c r="L61" s="186">
        <f>SUMIFS('Plan prihoda za unos u SAP'!$H$3:$H$500,'Plan prihoda za unos u SAP'!$C$3:$C$500,"=552",'Plan prihoda za unos u SAP'!$K$3:$K$500,"=663")</f>
        <v>0</v>
      </c>
      <c r="M61" s="186">
        <f>SUMIFS('Plan prihoda za unos u SAP'!$H$3:$H$500,'Plan prihoda za unos u SAP'!$C$3:$C$500,"=559",'Plan prihoda za unos u SAP'!$K$3:$K$500,"=663")</f>
        <v>0</v>
      </c>
      <c r="N61" s="186">
        <f>SUMIFS('Plan prihoda za unos u SAP'!$H$3:$H$500,'Plan prihoda za unos u SAP'!$C$3:$C$500,"=561",'Plan prihoda za unos u SAP'!$K$3:$K$500,"=663")</f>
        <v>0</v>
      </c>
      <c r="O61" s="186">
        <f>SUMIFS('Plan prihoda za unos u SAP'!$H$3:$H$500,'Plan prihoda za unos u SAP'!$C$3:$C$500,"=563",'Plan prihoda za unos u SAP'!$K$3:$K$500,"=663")</f>
        <v>0</v>
      </c>
      <c r="P61" s="186">
        <f>SUMIFS('Plan prihoda za unos u SAP'!$H$3:$H$500,'Plan prihoda za unos u SAP'!$C$3:$C$500,"=573",'Plan prihoda za unos u SAP'!$K$3:$K$500,"=663")</f>
        <v>0</v>
      </c>
      <c r="Q61" s="186">
        <f>SUMIFS('Plan prihoda za unos u SAP'!$H$3:$H$500,'Plan prihoda za unos u SAP'!$C$3:$C$500,"=575",'Plan prihoda za unos u SAP'!$K$3:$K$500,"=663")</f>
        <v>0</v>
      </c>
      <c r="R61" s="186">
        <f>SUMIFS('Plan prihoda za unos u SAP'!$H$3:$H$500,'Plan prihoda za unos u SAP'!$C$3:$C$500,"=576",'Plan prihoda za unos u SAP'!$K$3:$K$500,"=663")</f>
        <v>0</v>
      </c>
      <c r="S61" s="186">
        <f>SUMIFS('Plan prihoda za unos u SAP'!$H$3:$H$500,'Plan prihoda za unos u SAP'!$C$3:$C$500,"=581",'Plan prihoda za unos u SAP'!$K$3:$K$500,"=663")</f>
        <v>0</v>
      </c>
      <c r="T61" s="186">
        <f>SUMIFS('Plan prihoda za unos u SAP'!$H$3:$H$500,'Plan prihoda za unos u SAP'!$C$3:$C$500,"=61",'Plan prihoda za unos u SAP'!$K$3:$K$500,"=663")</f>
        <v>817977</v>
      </c>
      <c r="U61" s="186">
        <f>SUMIFS('Plan prihoda za unos u SAP'!$H$3:$H$500,'Plan prihoda za unos u SAP'!$C$3:$C$500,"=63",'Plan prihoda za unos u SAP'!$K$3:$K$500,"=663")</f>
        <v>0</v>
      </c>
      <c r="V61" s="186">
        <f>SUMIFS('Plan prihoda za unos u SAP'!$H$3:$H$500,'Plan prihoda za unos u SAP'!$C$3:$C$500,"=71",'Plan prihoda za unos u SAP'!$K$3:$K$500,"=663")</f>
        <v>0</v>
      </c>
      <c r="W61" s="186">
        <f>SUMIFS('Plan prihoda za unos u SAP'!$H$3:$H$500,'Plan prihoda za unos u SAP'!$C$3:$C$500,"=81",'Plan prihoda za unos u SAP'!$K$3:$K$500,"=663")</f>
        <v>0</v>
      </c>
    </row>
    <row r="62" spans="1:23" s="90" customFormat="1" ht="25.5">
      <c r="A62" s="90">
        <v>2022</v>
      </c>
      <c r="B62" s="95" t="s">
        <v>293</v>
      </c>
      <c r="C62" s="96" t="s">
        <v>254</v>
      </c>
      <c r="D62" s="70">
        <f t="shared" si="11"/>
        <v>143006254</v>
      </c>
      <c r="E62" s="186">
        <f>SUMIFS('Plan prihoda za unos u SAP'!$H$3:$H$500,'Plan prihoda za unos u SAP'!$C$3:$C$500,"=11",'Plan prihoda za unos u SAP'!$K$3:$K$500,"=671")</f>
        <v>142712312</v>
      </c>
      <c r="F62" s="186">
        <f>SUMIFS('Plan prihoda za unos u SAP'!$H$3:$H$500,'Plan prihoda za unos u SAP'!$C$3:$C$500,"=12",'Plan prihoda za unos u SAP'!$K$3:$K$500,"=671")</f>
        <v>293942</v>
      </c>
      <c r="G62" s="186">
        <f>SUMIFS('Plan prihoda za unos u SAP'!$H$3:$H$500,'Plan prihoda za unos u SAP'!$C$3:$C$500,"=31",'Plan prihoda za unos u SAP'!$K$3:$K$500,"=671")</f>
        <v>0</v>
      </c>
      <c r="H62" s="186">
        <f>SUMIFS('Plan prihoda za unos u SAP'!$H$3:$H$500,'Plan prihoda za unos u SAP'!$C$3:$C$500,"=41",'Plan prihoda za unos u SAP'!$K$3:$K$500,"=671")</f>
        <v>0</v>
      </c>
      <c r="I62" s="186">
        <f>SUMIFS('Plan prihoda za unos u SAP'!$H$3:$H$500,'Plan prihoda za unos u SAP'!$C$3:$C$500,"=43",'Plan prihoda za unos u SAP'!$K$3:$K$500,"=671")</f>
        <v>0</v>
      </c>
      <c r="J62" s="186">
        <f>SUMIFS('Plan prihoda za unos u SAP'!$H$3:$H$500,'Plan prihoda za unos u SAP'!$C$3:$C$500,"=51",'Plan prihoda za unos u SAP'!$K$3:$K$500,"=671")</f>
        <v>0</v>
      </c>
      <c r="K62" s="186">
        <f>SUMIFS('Plan prihoda za unos u SAP'!$H$3:$H$500,'Plan prihoda za unos u SAP'!$C$3:$C$500,"=52",'Plan prihoda za unos u SAP'!$K$3:$K$500,"=671")</f>
        <v>0</v>
      </c>
      <c r="L62" s="186">
        <f>SUMIFS('Plan prihoda za unos u SAP'!$H$3:$H$500,'Plan prihoda za unos u SAP'!$C$3:$C$500,"=552",'Plan prihoda za unos u SAP'!$K$3:$K$500,"=671")</f>
        <v>0</v>
      </c>
      <c r="M62" s="186">
        <f>SUMIFS('Plan prihoda za unos u SAP'!$H$3:$H$500,'Plan prihoda za unos u SAP'!$C$3:$C$500,"=559",'Plan prihoda za unos u SAP'!$K$3:$K$500,"=671")</f>
        <v>0</v>
      </c>
      <c r="N62" s="186">
        <f>SUMIFS('Plan prihoda za unos u SAP'!$H$3:$H$500,'Plan prihoda za unos u SAP'!$C$3:$C$500,"=561",'Plan prihoda za unos u SAP'!$K$3:$K$500,"=671")</f>
        <v>0</v>
      </c>
      <c r="O62" s="186">
        <f>SUMIFS('Plan prihoda za unos u SAP'!$H$3:$H$500,'Plan prihoda za unos u SAP'!$C$3:$C$500,"=563",'Plan prihoda za unos u SAP'!$K$3:$K$500,"=671")</f>
        <v>0</v>
      </c>
      <c r="P62" s="186">
        <f>SUMIFS('Plan prihoda za unos u SAP'!$H$3:$H$500,'Plan prihoda za unos u SAP'!$C$3:$C$500,"=573",'Plan prihoda za unos u SAP'!$K$3:$K$500,"=671")</f>
        <v>0</v>
      </c>
      <c r="Q62" s="186">
        <f>SUMIFS('Plan prihoda za unos u SAP'!$H$3:$H$500,'Plan prihoda za unos u SAP'!$C$3:$C$500,"=575",'Plan prihoda za unos u SAP'!$K$3:$K$500,"=671")</f>
        <v>0</v>
      </c>
      <c r="R62" s="186">
        <f>SUMIFS('Plan prihoda za unos u SAP'!$H$3:$H$500,'Plan prihoda za unos u SAP'!$C$3:$C$500,"=576",'Plan prihoda za unos u SAP'!$K$3:$K$500,"=671")</f>
        <v>0</v>
      </c>
      <c r="S62" s="186">
        <f>SUMIFS('Plan prihoda za unos u SAP'!$H$3:$H$500,'Plan prihoda za unos u SAP'!$C$3:$C$500,"=581",'Plan prihoda za unos u SAP'!$K$3:$K$500,"=671")</f>
        <v>0</v>
      </c>
      <c r="T62" s="186">
        <f>SUMIFS('Plan prihoda za unos u SAP'!$H$3:$H$500,'Plan prihoda za unos u SAP'!$C$3:$C$500,"=61",'Plan prihoda za unos u SAP'!$K$3:$K$500,"=671")</f>
        <v>0</v>
      </c>
      <c r="U62" s="186">
        <f>SUMIFS('Plan prihoda za unos u SAP'!$H$3:$H$500,'Plan prihoda za unos u SAP'!$C$3:$C$500,"=63",'Plan prihoda za unos u SAP'!$K$3:$K$500,"=671")</f>
        <v>0</v>
      </c>
      <c r="V62" s="186">
        <f>SUMIFS('Plan prihoda za unos u SAP'!$H$3:$H$500,'Plan prihoda za unos u SAP'!$C$3:$C$500,"=71",'Plan prihoda za unos u SAP'!$K$3:$K$500,"=671")</f>
        <v>0</v>
      </c>
      <c r="W62" s="186">
        <f>SUMIFS('Plan prihoda za unos u SAP'!$H$3:$H$500,'Plan prihoda za unos u SAP'!$C$3:$C$500,"=81",'Plan prihoda za unos u SAP'!$K$3:$K$500,"=671")</f>
        <v>0</v>
      </c>
    </row>
    <row r="63" spans="1:23" s="90" customFormat="1">
      <c r="A63" s="90">
        <v>2022</v>
      </c>
      <c r="B63" s="95" t="s">
        <v>294</v>
      </c>
      <c r="C63" s="96" t="s">
        <v>295</v>
      </c>
      <c r="D63" s="70">
        <f t="shared" si="11"/>
        <v>0</v>
      </c>
      <c r="E63" s="186">
        <f>SUMIFS('Plan prihoda za unos u SAP'!$H$3:$H$500,'Plan prihoda za unos u SAP'!$C$3:$C$500,"=11",'Plan prihoda za unos u SAP'!$K$3:$K$500,"=681")</f>
        <v>0</v>
      </c>
      <c r="F63" s="186">
        <f>SUMIFS('Plan prihoda za unos u SAP'!$H$3:$H$500,'Plan prihoda za unos u SAP'!$C$3:$C$500,"=12",'Plan prihoda za unos u SAP'!$K$3:$K$500,"=681")</f>
        <v>0</v>
      </c>
      <c r="G63" s="186">
        <f>SUMIFS('Plan prihoda za unos u SAP'!$H$3:$H$500,'Plan prihoda za unos u SAP'!$C$3:$C$500,"=31",'Plan prihoda za unos u SAP'!$K$3:$K$500,"=681")</f>
        <v>0</v>
      </c>
      <c r="H63" s="186">
        <f>SUMIFS('Plan prihoda za unos u SAP'!$H$3:$H$500,'Plan prihoda za unos u SAP'!$C$3:$C$500,"=41",'Plan prihoda za unos u SAP'!$K$3:$K$500,"=681")</f>
        <v>0</v>
      </c>
      <c r="I63" s="186">
        <f>SUMIFS('Plan prihoda za unos u SAP'!$H$3:$H$500,'Plan prihoda za unos u SAP'!$C$3:$C$500,"=43",'Plan prihoda za unos u SAP'!$K$3:$K$500,"=681")</f>
        <v>0</v>
      </c>
      <c r="J63" s="186">
        <f>SUMIFS('Plan prihoda za unos u SAP'!$H$3:$H$500,'Plan prihoda za unos u SAP'!$C$3:$C$500,"=51",'Plan prihoda za unos u SAP'!$K$3:$K$500,"=681")</f>
        <v>0</v>
      </c>
      <c r="K63" s="186">
        <f>SUMIFS('Plan prihoda za unos u SAP'!$H$3:$H$500,'Plan prihoda za unos u SAP'!$C$3:$C$500,"=52",'Plan prihoda za unos u SAP'!$K$3:$K$500,"=681")</f>
        <v>0</v>
      </c>
      <c r="L63" s="186">
        <f>SUMIFS('Plan prihoda za unos u SAP'!$H$3:$H$500,'Plan prihoda za unos u SAP'!$C$3:$C$500,"=552",'Plan prihoda za unos u SAP'!$K$3:$K$500,"=681")</f>
        <v>0</v>
      </c>
      <c r="M63" s="186">
        <f>SUMIFS('Plan prihoda za unos u SAP'!$H$3:$H$500,'Plan prihoda za unos u SAP'!$C$3:$C$500,"=559",'Plan prihoda za unos u SAP'!$K$3:$K$500,"=681")</f>
        <v>0</v>
      </c>
      <c r="N63" s="186">
        <f>SUMIFS('Plan prihoda za unos u SAP'!$H$3:$H$500,'Plan prihoda za unos u SAP'!$C$3:$C$500,"=561",'Plan prihoda za unos u SAP'!$K$3:$K$500,"=681")</f>
        <v>0</v>
      </c>
      <c r="O63" s="186">
        <f>SUMIFS('Plan prihoda za unos u SAP'!$H$3:$H$500,'Plan prihoda za unos u SAP'!$C$3:$C$500,"=563",'Plan prihoda za unos u SAP'!$K$3:$K$500,"=681")</f>
        <v>0</v>
      </c>
      <c r="P63" s="186">
        <f>SUMIFS('Plan prihoda za unos u SAP'!$H$3:$H$500,'Plan prihoda za unos u SAP'!$C$3:$C$500,"=573",'Plan prihoda za unos u SAP'!$K$3:$K$500,"=681")</f>
        <v>0</v>
      </c>
      <c r="Q63" s="186">
        <f>SUMIFS('Plan prihoda za unos u SAP'!$H$3:$H$500,'Plan prihoda za unos u SAP'!$C$3:$C$500,"=575",'Plan prihoda za unos u SAP'!$K$3:$K$500,"=681")</f>
        <v>0</v>
      </c>
      <c r="R63" s="186">
        <f>SUMIFS('Plan prihoda za unos u SAP'!$H$3:$H$500,'Plan prihoda za unos u SAP'!$C$3:$C$500,"=576",'Plan prihoda za unos u SAP'!$K$3:$K$500,"=681")</f>
        <v>0</v>
      </c>
      <c r="S63" s="186">
        <f>SUMIFS('Plan prihoda za unos u SAP'!$H$3:$H$500,'Plan prihoda za unos u SAP'!$C$3:$C$500,"=581",'Plan prihoda za unos u SAP'!$K$3:$K$500,"=681")</f>
        <v>0</v>
      </c>
      <c r="T63" s="186">
        <f>SUMIFS('Plan prihoda za unos u SAP'!$H$3:$H$500,'Plan prihoda za unos u SAP'!$C$3:$C$500,"=61",'Plan prihoda za unos u SAP'!$K$3:$K$500,"=681")</f>
        <v>0</v>
      </c>
      <c r="U63" s="186">
        <f>SUMIFS('Plan prihoda za unos u SAP'!$H$3:$H$500,'Plan prihoda za unos u SAP'!$C$3:$C$500,"=63",'Plan prihoda za unos u SAP'!$K$3:$K$500,"=681")</f>
        <v>0</v>
      </c>
      <c r="V63" s="186">
        <f>SUMIFS('Plan prihoda za unos u SAP'!$H$3:$H$500,'Plan prihoda za unos u SAP'!$C$3:$C$500,"=71",'Plan prihoda za unos u SAP'!$K$3:$K$500,"=681")</f>
        <v>0</v>
      </c>
      <c r="W63" s="186">
        <f>SUMIFS('Plan prihoda za unos u SAP'!$H$3:$H$500,'Plan prihoda za unos u SAP'!$C$3:$C$500,"=81",'Plan prihoda za unos u SAP'!$K$3:$K$500,"=681")</f>
        <v>0</v>
      </c>
    </row>
    <row r="64" spans="1:23" s="90" customFormat="1">
      <c r="A64" s="90">
        <v>2022</v>
      </c>
      <c r="B64" s="95" t="s">
        <v>296</v>
      </c>
      <c r="C64" s="96" t="s">
        <v>297</v>
      </c>
      <c r="D64" s="70">
        <f t="shared" si="11"/>
        <v>0</v>
      </c>
      <c r="E64" s="186">
        <f>SUMIFS('Plan prihoda za unos u SAP'!$H$3:$H$500,'Plan prihoda za unos u SAP'!$C$3:$C$500,"=11",'Plan prihoda za unos u SAP'!$K$3:$K$500,"=683")</f>
        <v>0</v>
      </c>
      <c r="F64" s="186">
        <f>SUMIFS('Plan prihoda za unos u SAP'!$H$3:$H$500,'Plan prihoda za unos u SAP'!$C$3:$C$500,"=12",'Plan prihoda za unos u SAP'!$K$3:$K$500,"=683")</f>
        <v>0</v>
      </c>
      <c r="G64" s="186">
        <f>SUMIFS('Plan prihoda za unos u SAP'!$H$3:$H$500,'Plan prihoda za unos u SAP'!$C$3:$C$500,"=31",'Plan prihoda za unos u SAP'!$K$3:$K$500,"=683")</f>
        <v>0</v>
      </c>
      <c r="H64" s="186">
        <f>SUMIFS('Plan prihoda za unos u SAP'!$H$3:$H$500,'Plan prihoda za unos u SAP'!$C$3:$C$500,"=41",'Plan prihoda za unos u SAP'!$K$3:$K$500,"=683")</f>
        <v>0</v>
      </c>
      <c r="I64" s="186">
        <f>SUMIFS('Plan prihoda za unos u SAP'!$H$3:$H$500,'Plan prihoda za unos u SAP'!$C$3:$C$500,"=43",'Plan prihoda za unos u SAP'!$K$3:$K$500,"=683")</f>
        <v>0</v>
      </c>
      <c r="J64" s="186">
        <f>SUMIFS('Plan prihoda za unos u SAP'!$H$3:$H$500,'Plan prihoda za unos u SAP'!$C$3:$C$500,"=51",'Plan prihoda za unos u SAP'!$K$3:$K$500,"=683")</f>
        <v>0</v>
      </c>
      <c r="K64" s="186">
        <f>SUMIFS('Plan prihoda za unos u SAP'!$H$3:$H$500,'Plan prihoda za unos u SAP'!$C$3:$C$500,"=52",'Plan prihoda za unos u SAP'!$K$3:$K$500,"=683")</f>
        <v>0</v>
      </c>
      <c r="L64" s="186">
        <f>SUMIFS('Plan prihoda za unos u SAP'!$H$3:$H$500,'Plan prihoda za unos u SAP'!$C$3:$C$500,"=552",'Plan prihoda za unos u SAP'!$K$3:$K$500,"=683")</f>
        <v>0</v>
      </c>
      <c r="M64" s="186">
        <f>SUMIFS('Plan prihoda za unos u SAP'!$H$3:$H$500,'Plan prihoda za unos u SAP'!$C$3:$C$500,"=559",'Plan prihoda za unos u SAP'!$K$3:$K$500,"=683")</f>
        <v>0</v>
      </c>
      <c r="N64" s="186">
        <f>SUMIFS('Plan prihoda za unos u SAP'!$H$3:$H$500,'Plan prihoda za unos u SAP'!$C$3:$C$500,"=561",'Plan prihoda za unos u SAP'!$K$3:$K$500,"=683")</f>
        <v>0</v>
      </c>
      <c r="O64" s="186">
        <f>SUMIFS('Plan prihoda za unos u SAP'!$H$3:$H$500,'Plan prihoda za unos u SAP'!$C$3:$C$500,"=563",'Plan prihoda za unos u SAP'!$K$3:$K$500,"=683")</f>
        <v>0</v>
      </c>
      <c r="P64" s="186">
        <f>SUMIFS('Plan prihoda za unos u SAP'!$H$3:$H$500,'Plan prihoda za unos u SAP'!$C$3:$C$500,"=573",'Plan prihoda za unos u SAP'!$K$3:$K$500,"=683")</f>
        <v>0</v>
      </c>
      <c r="Q64" s="186">
        <f>SUMIFS('Plan prihoda za unos u SAP'!$H$3:$H$500,'Plan prihoda za unos u SAP'!$C$3:$C$500,"=575",'Plan prihoda za unos u SAP'!$K$3:$K$500,"=683")</f>
        <v>0</v>
      </c>
      <c r="R64" s="186">
        <f>SUMIFS('Plan prihoda za unos u SAP'!$H$3:$H$500,'Plan prihoda za unos u SAP'!$C$3:$C$500,"=576",'Plan prihoda za unos u SAP'!$K$3:$K$500,"=683")</f>
        <v>0</v>
      </c>
      <c r="S64" s="186">
        <f>SUMIFS('Plan prihoda za unos u SAP'!$H$3:$H$500,'Plan prihoda za unos u SAP'!$C$3:$C$500,"=581",'Plan prihoda za unos u SAP'!$K$3:$K$500,"=683")</f>
        <v>0</v>
      </c>
      <c r="T64" s="186">
        <f>SUMIFS('Plan prihoda za unos u SAP'!$H$3:$H$500,'Plan prihoda za unos u SAP'!$C$3:$C$500,"=61",'Plan prihoda za unos u SAP'!$K$3:$K$500,"=683")</f>
        <v>0</v>
      </c>
      <c r="U64" s="186">
        <f>SUMIFS('Plan prihoda za unos u SAP'!$H$3:$H$500,'Plan prihoda za unos u SAP'!$C$3:$C$500,"=63",'Plan prihoda za unos u SAP'!$K$3:$K$500,"=683")</f>
        <v>0</v>
      </c>
      <c r="V64" s="186">
        <f>SUMIFS('Plan prihoda za unos u SAP'!$H$3:$H$500,'Plan prihoda za unos u SAP'!$C$3:$C$500,"=71",'Plan prihoda za unos u SAP'!$K$3:$K$500,"=683")</f>
        <v>0</v>
      </c>
      <c r="W64" s="186">
        <f>SUMIFS('Plan prihoda za unos u SAP'!$H$3:$H$500,'Plan prihoda za unos u SAP'!$C$3:$C$500,"=81",'Plan prihoda za unos u SAP'!$K$3:$K$500,"=683")</f>
        <v>0</v>
      </c>
    </row>
    <row r="65" spans="1:23" s="90" customFormat="1">
      <c r="A65" s="90">
        <v>2022</v>
      </c>
      <c r="B65" s="98" t="s">
        <v>298</v>
      </c>
      <c r="C65" s="99" t="s">
        <v>299</v>
      </c>
      <c r="D65" s="70">
        <f t="shared" si="11"/>
        <v>205644302</v>
      </c>
      <c r="E65" s="4">
        <f>SUM(E49:E64)</f>
        <v>142712312</v>
      </c>
      <c r="F65" s="4">
        <f t="shared" ref="F65:W65" si="16">SUM(F49:F64)</f>
        <v>293942</v>
      </c>
      <c r="G65" s="4">
        <f t="shared" si="16"/>
        <v>12457000</v>
      </c>
      <c r="H65" s="4">
        <f t="shared" si="16"/>
        <v>0</v>
      </c>
      <c r="I65" s="4">
        <f t="shared" si="16"/>
        <v>15000000</v>
      </c>
      <c r="J65" s="4">
        <f>SUM(J49:J64)</f>
        <v>2902942</v>
      </c>
      <c r="K65" s="4">
        <f t="shared" si="16"/>
        <v>30317418</v>
      </c>
      <c r="L65" s="4">
        <f t="shared" si="16"/>
        <v>0</v>
      </c>
      <c r="M65" s="4">
        <f t="shared" si="16"/>
        <v>0</v>
      </c>
      <c r="N65" s="4">
        <f t="shared" si="16"/>
        <v>1142711</v>
      </c>
      <c r="O65" s="4">
        <f t="shared" si="16"/>
        <v>0</v>
      </c>
      <c r="P65" s="4">
        <f t="shared" si="16"/>
        <v>0</v>
      </c>
      <c r="Q65" s="4">
        <f t="shared" si="16"/>
        <v>0</v>
      </c>
      <c r="R65" s="4">
        <f t="shared" ref="R65" si="17">SUM(R49:R64)</f>
        <v>0</v>
      </c>
      <c r="S65" s="4">
        <f>SUM(S49:S64)</f>
        <v>0</v>
      </c>
      <c r="T65" s="4">
        <f t="shared" si="16"/>
        <v>817977</v>
      </c>
      <c r="U65" s="4">
        <f t="shared" si="16"/>
        <v>0</v>
      </c>
      <c r="V65" s="4">
        <f t="shared" si="16"/>
        <v>0</v>
      </c>
      <c r="W65" s="4">
        <f t="shared" si="16"/>
        <v>0</v>
      </c>
    </row>
    <row r="66" spans="1:23" s="90" customFormat="1">
      <c r="A66" s="90">
        <v>2022</v>
      </c>
      <c r="B66" s="95" t="s">
        <v>310</v>
      </c>
      <c r="C66" s="100" t="s">
        <v>311</v>
      </c>
      <c r="D66" s="70">
        <f t="shared" si="11"/>
        <v>0</v>
      </c>
      <c r="E66" s="186">
        <f>SUMIFS('Plan prihoda za unos u SAP'!$H$3:$H$500,'Plan prihoda za unos u SAP'!$C$3:$C$500,"=11",'Plan prihoda za unos u SAP'!$K$3:$K$500,"=711")</f>
        <v>0</v>
      </c>
      <c r="F66" s="186">
        <f>SUMIFS('Plan prihoda za unos u SAP'!$H$3:$H$500,'Plan prihoda za unos u SAP'!$C$3:$C$500,"=12",'Plan prihoda za unos u SAP'!$K$3:$K$500,"=711")</f>
        <v>0</v>
      </c>
      <c r="G66" s="186">
        <f>SUMIFS('Plan prihoda za unos u SAP'!$H$3:$H$500,'Plan prihoda za unos u SAP'!$C$3:$C$500,"=31",'Plan prihoda za unos u SAP'!$K$3:$K$500,"=711")</f>
        <v>0</v>
      </c>
      <c r="H66" s="186">
        <f>SUMIFS('Plan prihoda za unos u SAP'!$H$3:$H$500,'Plan prihoda za unos u SAP'!$C$3:$C$500,"=41",'Plan prihoda za unos u SAP'!$K$3:$K$500,"=711")</f>
        <v>0</v>
      </c>
      <c r="I66" s="186">
        <f>SUMIFS('Plan prihoda za unos u SAP'!$H$3:$H$500,'Plan prihoda za unos u SAP'!$C$3:$C$500,"=43",'Plan prihoda za unos u SAP'!$K$3:$K$500,"=711")</f>
        <v>0</v>
      </c>
      <c r="J66" s="186">
        <f>SUMIFS('Plan prihoda za unos u SAP'!$H$3:$H$500,'Plan prihoda za unos u SAP'!$C$3:$C$500,"=51",'Plan prihoda za unos u SAP'!$K$3:$K$500,"=711")</f>
        <v>0</v>
      </c>
      <c r="K66" s="186">
        <f>SUMIFS('Plan prihoda za unos u SAP'!$H$3:$H$500,'Plan prihoda za unos u SAP'!$C$3:$C$500,"=52",'Plan prihoda za unos u SAP'!$K$3:$K$500,"=711")</f>
        <v>0</v>
      </c>
      <c r="L66" s="186">
        <f>SUMIFS('Plan prihoda za unos u SAP'!$H$3:$H$500,'Plan prihoda za unos u SAP'!$C$3:$C$500,"=552",'Plan prihoda za unos u SAP'!$K$3:$K$500,"=711")</f>
        <v>0</v>
      </c>
      <c r="M66" s="186">
        <f>SUMIFS('Plan prihoda za unos u SAP'!$H$3:$H$500,'Plan prihoda za unos u SAP'!$C$3:$C$500,"=559",'Plan prihoda za unos u SAP'!$K$3:$K$500,"=711")</f>
        <v>0</v>
      </c>
      <c r="N66" s="186">
        <f>SUMIFS('Plan prihoda za unos u SAP'!$H$3:$H$500,'Plan prihoda za unos u SAP'!$C$3:$C$500,"=561",'Plan prihoda za unos u SAP'!$K$3:$K$500,"=711")</f>
        <v>0</v>
      </c>
      <c r="O66" s="186">
        <f>SUMIFS('Plan prihoda za unos u SAP'!$H$3:$H$500,'Plan prihoda za unos u SAP'!$C$3:$C$500,"=563",'Plan prihoda za unos u SAP'!$K$3:$K$500,"=711")</f>
        <v>0</v>
      </c>
      <c r="P66" s="186">
        <f>SUMIFS('Plan prihoda za unos u SAP'!$H$3:$H$500,'Plan prihoda za unos u SAP'!$C$3:$C$500,"=573",'Plan prihoda za unos u SAP'!$K$3:$K$500,"=711")</f>
        <v>0</v>
      </c>
      <c r="Q66" s="186">
        <f>SUMIFS('Plan prihoda za unos u SAP'!$H$3:$H$500,'Plan prihoda za unos u SAP'!$C$3:$C$500,"=575",'Plan prihoda za unos u SAP'!$K$3:$K$500,"=711")</f>
        <v>0</v>
      </c>
      <c r="R66" s="186">
        <f>SUMIFS('Plan prihoda za unos u SAP'!$H$3:$H$500,'Plan prihoda za unos u SAP'!$C$3:$C$500,"=576",'Plan prihoda za unos u SAP'!$K$3:$K$500,"=711")</f>
        <v>0</v>
      </c>
      <c r="S66" s="186">
        <f>SUMIFS('Plan prihoda za unos u SAP'!$H$3:$H$500,'Plan prihoda za unos u SAP'!$C$3:$C$500,"=581",'Plan prihoda za unos u SAP'!$K$3:$K$500,"=711")</f>
        <v>0</v>
      </c>
      <c r="T66" s="186">
        <f>SUMIFS('Plan prihoda za unos u SAP'!$H$3:$H$500,'Plan prihoda za unos u SAP'!$C$3:$C$500,"=61",'Plan prihoda za unos u SAP'!$K$3:$K$500,"=711")</f>
        <v>0</v>
      </c>
      <c r="U66" s="186">
        <f>SUMIFS('Plan prihoda za unos u SAP'!$H$3:$H$500,'Plan prihoda za unos u SAP'!$C$3:$C$500,"=63",'Plan prihoda za unos u SAP'!$K$3:$K$500,"=711")</f>
        <v>0</v>
      </c>
      <c r="V66" s="186">
        <f>SUMIFS('Plan prihoda za unos u SAP'!$H$3:$H$500,'Plan prihoda za unos u SAP'!$C$3:$C$500,"=71",'Plan prihoda za unos u SAP'!$K$3:$K$500,"=711")</f>
        <v>0</v>
      </c>
      <c r="W66" s="186">
        <f>SUMIFS('Plan prihoda za unos u SAP'!$H$3:$H$500,'Plan prihoda za unos u SAP'!$C$3:$C$500,"=81",'Plan prihoda za unos u SAP'!$K$3:$K$500,"=711")</f>
        <v>0</v>
      </c>
    </row>
    <row r="67" spans="1:23" s="90" customFormat="1">
      <c r="A67" s="90">
        <v>2022</v>
      </c>
      <c r="B67" s="95" t="s">
        <v>312</v>
      </c>
      <c r="C67" s="100" t="s">
        <v>313</v>
      </c>
      <c r="D67" s="70">
        <f t="shared" si="11"/>
        <v>0</v>
      </c>
      <c r="E67" s="186">
        <f>SUMIFS('Plan prihoda za unos u SAP'!$H$3:$H$500,'Plan prihoda za unos u SAP'!$C$3:$C$500,"=11",'Plan prihoda za unos u SAP'!$K$3:$K$500,"=712")</f>
        <v>0</v>
      </c>
      <c r="F67" s="186">
        <f>SUMIFS('Plan prihoda za unos u SAP'!$H$3:$H$500,'Plan prihoda za unos u SAP'!$C$3:$C$500,"=12",'Plan prihoda za unos u SAP'!$K$3:$K$500,"=712")</f>
        <v>0</v>
      </c>
      <c r="G67" s="186">
        <f>SUMIFS('Plan prihoda za unos u SAP'!$H$3:$H$500,'Plan prihoda za unos u SAP'!$C$3:$C$500,"=31",'Plan prihoda za unos u SAP'!$K$3:$K$500,"=712")</f>
        <v>0</v>
      </c>
      <c r="H67" s="186">
        <f>SUMIFS('Plan prihoda za unos u SAP'!$H$3:$H$500,'Plan prihoda za unos u SAP'!$C$3:$C$500,"=41",'Plan prihoda za unos u SAP'!$K$3:$K$500,"=712")</f>
        <v>0</v>
      </c>
      <c r="I67" s="186">
        <f>SUMIFS('Plan prihoda za unos u SAP'!$H$3:$H$500,'Plan prihoda za unos u SAP'!$C$3:$C$500,"=43",'Plan prihoda za unos u SAP'!$K$3:$K$500,"=712")</f>
        <v>0</v>
      </c>
      <c r="J67" s="186">
        <f>SUMIFS('Plan prihoda za unos u SAP'!$H$3:$H$500,'Plan prihoda za unos u SAP'!$C$3:$C$500,"=51",'Plan prihoda za unos u SAP'!$K$3:$K$500,"=712")</f>
        <v>0</v>
      </c>
      <c r="K67" s="186">
        <f>SUMIFS('Plan prihoda za unos u SAP'!$H$3:$H$500,'Plan prihoda za unos u SAP'!$C$3:$C$500,"=52",'Plan prihoda za unos u SAP'!$K$3:$K$500,"=712")</f>
        <v>0</v>
      </c>
      <c r="L67" s="186">
        <f>SUMIFS('Plan prihoda za unos u SAP'!$H$3:$H$500,'Plan prihoda za unos u SAP'!$C$3:$C$500,"=552",'Plan prihoda za unos u SAP'!$K$3:$K$500,"=712")</f>
        <v>0</v>
      </c>
      <c r="M67" s="186">
        <f>SUMIFS('Plan prihoda za unos u SAP'!$H$3:$H$500,'Plan prihoda za unos u SAP'!$C$3:$C$500,"=559",'Plan prihoda za unos u SAP'!$K$3:$K$500,"=712")</f>
        <v>0</v>
      </c>
      <c r="N67" s="186">
        <f>SUMIFS('Plan prihoda za unos u SAP'!$H$3:$H$500,'Plan prihoda za unos u SAP'!$C$3:$C$500,"=561",'Plan prihoda za unos u SAP'!$K$3:$K$500,"=712")</f>
        <v>0</v>
      </c>
      <c r="O67" s="186">
        <f>SUMIFS('Plan prihoda za unos u SAP'!$H$3:$H$500,'Plan prihoda za unos u SAP'!$C$3:$C$500,"=563",'Plan prihoda za unos u SAP'!$K$3:$K$500,"=712")</f>
        <v>0</v>
      </c>
      <c r="P67" s="186">
        <f>SUMIFS('Plan prihoda za unos u SAP'!$H$3:$H$500,'Plan prihoda za unos u SAP'!$C$3:$C$500,"=573",'Plan prihoda za unos u SAP'!$K$3:$K$500,"=712")</f>
        <v>0</v>
      </c>
      <c r="Q67" s="186">
        <f>SUMIFS('Plan prihoda za unos u SAP'!$H$3:$H$500,'Plan prihoda za unos u SAP'!$C$3:$C$500,"=575",'Plan prihoda za unos u SAP'!$K$3:$K$500,"=712")</f>
        <v>0</v>
      </c>
      <c r="R67" s="186">
        <f>SUMIFS('Plan prihoda za unos u SAP'!$H$3:$H$500,'Plan prihoda za unos u SAP'!$C$3:$C$500,"=576",'Plan prihoda za unos u SAP'!$K$3:$K$500,"=712")</f>
        <v>0</v>
      </c>
      <c r="S67" s="186">
        <f>SUMIFS('Plan prihoda za unos u SAP'!$H$3:$H$500,'Plan prihoda za unos u SAP'!$C$3:$C$500,"=581",'Plan prihoda za unos u SAP'!$K$3:$K$500,"=712")</f>
        <v>0</v>
      </c>
      <c r="T67" s="186">
        <f>SUMIFS('Plan prihoda za unos u SAP'!$H$3:$H$500,'Plan prihoda za unos u SAP'!$C$3:$C$500,"=61",'Plan prihoda za unos u SAP'!$K$3:$K$500,"=712")</f>
        <v>0</v>
      </c>
      <c r="U67" s="186">
        <f>SUMIFS('Plan prihoda za unos u SAP'!$H$3:$H$500,'Plan prihoda za unos u SAP'!$C$3:$C$500,"=63",'Plan prihoda za unos u SAP'!$K$3:$K$500,"=712")</f>
        <v>0</v>
      </c>
      <c r="V67" s="186">
        <f>SUMIFS('Plan prihoda za unos u SAP'!$H$3:$H$500,'Plan prihoda za unos u SAP'!$C$3:$C$500,"=71",'Plan prihoda za unos u SAP'!$K$3:$K$500,"=712")</f>
        <v>0</v>
      </c>
      <c r="W67" s="186">
        <f>SUMIFS('Plan prihoda za unos u SAP'!$H$3:$H$500,'Plan prihoda za unos u SAP'!$C$3:$C$500,"=81",'Plan prihoda za unos u SAP'!$K$3:$K$500,"=712")</f>
        <v>0</v>
      </c>
    </row>
    <row r="68" spans="1:23" s="90" customFormat="1">
      <c r="A68" s="90">
        <v>2022</v>
      </c>
      <c r="B68" s="95" t="s">
        <v>300</v>
      </c>
      <c r="C68" s="100" t="s">
        <v>301</v>
      </c>
      <c r="D68" s="70">
        <f t="shared" si="11"/>
        <v>30000</v>
      </c>
      <c r="E68" s="186">
        <f>SUMIFS('Plan prihoda za unos u SAP'!$H$3:$H$500,'Plan prihoda za unos u SAP'!$C$3:$C$500,"=11",'Plan prihoda za unos u SAP'!$K$3:$K$500,"=721")</f>
        <v>0</v>
      </c>
      <c r="F68" s="186">
        <f>SUMIFS('Plan prihoda za unos u SAP'!$H$3:$H$500,'Plan prihoda za unos u SAP'!$C$3:$C$500,"=12",'Plan prihoda za unos u SAP'!$K$3:$K$500,"=721")</f>
        <v>0</v>
      </c>
      <c r="G68" s="186">
        <f>SUMIFS('Plan prihoda za unos u SAP'!$H$3:$H$500,'Plan prihoda za unos u SAP'!$C$3:$C$500,"=31",'Plan prihoda za unos u SAP'!$K$3:$K$500,"=721")</f>
        <v>0</v>
      </c>
      <c r="H68" s="186">
        <f>SUMIFS('Plan prihoda za unos u SAP'!$H$3:$H$500,'Plan prihoda za unos u SAP'!$C$3:$C$500,"=41",'Plan prihoda za unos u SAP'!$K$3:$K$500,"=721")</f>
        <v>0</v>
      </c>
      <c r="I68" s="186">
        <f>SUMIFS('Plan prihoda za unos u SAP'!$H$3:$H$500,'Plan prihoda za unos u SAP'!$C$3:$C$500,"=43",'Plan prihoda za unos u SAP'!$K$3:$K$500,"=721")</f>
        <v>0</v>
      </c>
      <c r="J68" s="186">
        <f>SUMIFS('Plan prihoda za unos u SAP'!$H$3:$H$500,'Plan prihoda za unos u SAP'!$C$3:$C$500,"=51",'Plan prihoda za unos u SAP'!$K$3:$K$500,"=721")</f>
        <v>0</v>
      </c>
      <c r="K68" s="186">
        <f>SUMIFS('Plan prihoda za unos u SAP'!$H$3:$H$500,'Plan prihoda za unos u SAP'!$C$3:$C$500,"=52",'Plan prihoda za unos u SAP'!$K$3:$K$500,"=721")</f>
        <v>0</v>
      </c>
      <c r="L68" s="186">
        <f>SUMIFS('Plan prihoda za unos u SAP'!$H$3:$H$500,'Plan prihoda za unos u SAP'!$C$3:$C$500,"=552",'Plan prihoda za unos u SAP'!$K$3:$K$500,"=721")</f>
        <v>0</v>
      </c>
      <c r="M68" s="186">
        <f>SUMIFS('Plan prihoda za unos u SAP'!$H$3:$H$500,'Plan prihoda za unos u SAP'!$C$3:$C$500,"=559",'Plan prihoda za unos u SAP'!$K$3:$K$500,"=721")</f>
        <v>0</v>
      </c>
      <c r="N68" s="186">
        <f>SUMIFS('Plan prihoda za unos u SAP'!$H$3:$H$500,'Plan prihoda za unos u SAP'!$C$3:$C$500,"=561",'Plan prihoda za unos u SAP'!$K$3:$K$500,"=721")</f>
        <v>0</v>
      </c>
      <c r="O68" s="186">
        <f>SUMIFS('Plan prihoda za unos u SAP'!$H$3:$H$500,'Plan prihoda za unos u SAP'!$C$3:$C$500,"=563",'Plan prihoda za unos u SAP'!$K$3:$K$500,"=721")</f>
        <v>0</v>
      </c>
      <c r="P68" s="186">
        <f>SUMIFS('Plan prihoda za unos u SAP'!$H$3:$H$500,'Plan prihoda za unos u SAP'!$C$3:$C$500,"=573",'Plan prihoda za unos u SAP'!$K$3:$K$500,"=721")</f>
        <v>0</v>
      </c>
      <c r="Q68" s="186">
        <f>SUMIFS('Plan prihoda za unos u SAP'!$H$3:$H$500,'Plan prihoda za unos u SAP'!$C$3:$C$500,"=575",'Plan prihoda za unos u SAP'!$K$3:$K$500,"=721")</f>
        <v>0</v>
      </c>
      <c r="R68" s="186">
        <f>SUMIFS('Plan prihoda za unos u SAP'!$H$3:$H$500,'Plan prihoda za unos u SAP'!$C$3:$C$500,"=576",'Plan prihoda za unos u SAP'!$K$3:$K$500,"=721")</f>
        <v>0</v>
      </c>
      <c r="S68" s="186">
        <f>SUMIFS('Plan prihoda za unos u SAP'!$H$3:$H$500,'Plan prihoda za unos u SAP'!$C$3:$C$500,"=581",'Plan prihoda za unos u SAP'!$K$3:$K$500,"=721")</f>
        <v>0</v>
      </c>
      <c r="T68" s="186">
        <f>SUMIFS('Plan prihoda za unos u SAP'!$H$3:$H$500,'Plan prihoda za unos u SAP'!$C$3:$C$500,"=61",'Plan prihoda za unos u SAP'!$K$3:$K$500,"=721")</f>
        <v>0</v>
      </c>
      <c r="U68" s="186">
        <f>SUMIFS('Plan prihoda za unos u SAP'!$H$3:$H$500,'Plan prihoda za unos u SAP'!$C$3:$C$500,"=63",'Plan prihoda za unos u SAP'!$K$3:$K$500,"=721")</f>
        <v>0</v>
      </c>
      <c r="V68" s="186">
        <f>SUMIFS('Plan prihoda za unos u SAP'!$H$3:$H$500,'Plan prihoda za unos u SAP'!$C$3:$C$500,"=71",'Plan prihoda za unos u SAP'!$K$3:$K$500,"=721")</f>
        <v>30000</v>
      </c>
      <c r="W68" s="186">
        <f>SUMIFS('Plan prihoda za unos u SAP'!$H$3:$H$500,'Plan prihoda za unos u SAP'!$C$3:$C$500,"=81",'Plan prihoda za unos u SAP'!$K$3:$K$500,"=721")</f>
        <v>0</v>
      </c>
    </row>
    <row r="69" spans="1:23" s="90" customFormat="1">
      <c r="A69" s="90">
        <v>2022</v>
      </c>
      <c r="B69" s="95" t="s">
        <v>302</v>
      </c>
      <c r="C69" s="100" t="s">
        <v>303</v>
      </c>
      <c r="D69" s="70">
        <f t="shared" si="11"/>
        <v>0</v>
      </c>
      <c r="E69" s="186">
        <f>SUMIFS('Plan prihoda za unos u SAP'!$H$3:$H$500,'Plan prihoda za unos u SAP'!$C$3:$C$500,"=11",'Plan prihoda za unos u SAP'!$K$3:$K$500,"=722")</f>
        <v>0</v>
      </c>
      <c r="F69" s="186">
        <f>SUMIFS('Plan prihoda za unos u SAP'!$H$3:$H$500,'Plan prihoda za unos u SAP'!$C$3:$C$500,"=12",'Plan prihoda za unos u SAP'!$K$3:$K$500,"=722")</f>
        <v>0</v>
      </c>
      <c r="G69" s="186">
        <f>SUMIFS('Plan prihoda za unos u SAP'!$H$3:$H$500,'Plan prihoda za unos u SAP'!$C$3:$C$500,"=31",'Plan prihoda za unos u SAP'!$K$3:$K$500,"=722")</f>
        <v>0</v>
      </c>
      <c r="H69" s="186">
        <f>SUMIFS('Plan prihoda za unos u SAP'!$H$3:$H$500,'Plan prihoda za unos u SAP'!$C$3:$C$500,"=41",'Plan prihoda za unos u SAP'!$K$3:$K$500,"=722")</f>
        <v>0</v>
      </c>
      <c r="I69" s="186">
        <f>SUMIFS('Plan prihoda za unos u SAP'!$H$3:$H$500,'Plan prihoda za unos u SAP'!$C$3:$C$500,"=43",'Plan prihoda za unos u SAP'!$K$3:$K$500,"=722")</f>
        <v>0</v>
      </c>
      <c r="J69" s="186">
        <f>SUMIFS('Plan prihoda za unos u SAP'!$H$3:$H$500,'Plan prihoda za unos u SAP'!$C$3:$C$500,"=51",'Plan prihoda za unos u SAP'!$K$3:$K$500,"=722")</f>
        <v>0</v>
      </c>
      <c r="K69" s="186">
        <f>SUMIFS('Plan prihoda za unos u SAP'!$H$3:$H$500,'Plan prihoda za unos u SAP'!$C$3:$C$500,"=52",'Plan prihoda za unos u SAP'!$K$3:$K$500,"=722")</f>
        <v>0</v>
      </c>
      <c r="L69" s="186">
        <f>SUMIFS('Plan prihoda za unos u SAP'!$H$3:$H$500,'Plan prihoda za unos u SAP'!$C$3:$C$500,"=552",'Plan prihoda za unos u SAP'!$K$3:$K$500,"=722")</f>
        <v>0</v>
      </c>
      <c r="M69" s="186">
        <f>SUMIFS('Plan prihoda za unos u SAP'!$H$3:$H$500,'Plan prihoda za unos u SAP'!$C$3:$C$500,"=559",'Plan prihoda za unos u SAP'!$K$3:$K$500,"=722")</f>
        <v>0</v>
      </c>
      <c r="N69" s="186">
        <f>SUMIFS('Plan prihoda za unos u SAP'!$H$3:$H$500,'Plan prihoda za unos u SAP'!$C$3:$C$500,"=561",'Plan prihoda za unos u SAP'!$K$3:$K$500,"=722")</f>
        <v>0</v>
      </c>
      <c r="O69" s="186">
        <f>SUMIFS('Plan prihoda za unos u SAP'!$H$3:$H$500,'Plan prihoda za unos u SAP'!$C$3:$C$500,"=563",'Plan prihoda za unos u SAP'!$K$3:$K$500,"=722")</f>
        <v>0</v>
      </c>
      <c r="P69" s="186">
        <f>SUMIFS('Plan prihoda za unos u SAP'!$H$3:$H$500,'Plan prihoda za unos u SAP'!$C$3:$C$500,"=573",'Plan prihoda za unos u SAP'!$K$3:$K$500,"=722")</f>
        <v>0</v>
      </c>
      <c r="Q69" s="186">
        <f>SUMIFS('Plan prihoda za unos u SAP'!$H$3:$H$500,'Plan prihoda za unos u SAP'!$C$3:$C$500,"=575",'Plan prihoda za unos u SAP'!$K$3:$K$500,"=722")</f>
        <v>0</v>
      </c>
      <c r="R69" s="186">
        <f>SUMIFS('Plan prihoda za unos u SAP'!$H$3:$H$500,'Plan prihoda za unos u SAP'!$C$3:$C$500,"=576",'Plan prihoda za unos u SAP'!$K$3:$K$500,"=722")</f>
        <v>0</v>
      </c>
      <c r="S69" s="186">
        <f>SUMIFS('Plan prihoda za unos u SAP'!$H$3:$H$500,'Plan prihoda za unos u SAP'!$C$3:$C$500,"=581",'Plan prihoda za unos u SAP'!$K$3:$K$500,"=722")</f>
        <v>0</v>
      </c>
      <c r="T69" s="186">
        <f>SUMIFS('Plan prihoda za unos u SAP'!$H$3:$H$500,'Plan prihoda za unos u SAP'!$C$3:$C$500,"=61",'Plan prihoda za unos u SAP'!$K$3:$K$500,"=722")</f>
        <v>0</v>
      </c>
      <c r="U69" s="186">
        <f>SUMIFS('Plan prihoda za unos u SAP'!$H$3:$H$500,'Plan prihoda za unos u SAP'!$C$3:$C$500,"=63",'Plan prihoda za unos u SAP'!$K$3:$K$500,"=722")</f>
        <v>0</v>
      </c>
      <c r="V69" s="186">
        <f>SUMIFS('Plan prihoda za unos u SAP'!$H$3:$H$500,'Plan prihoda za unos u SAP'!$C$3:$C$500,"=71",'Plan prihoda za unos u SAP'!$K$3:$K$500,"=722")</f>
        <v>0</v>
      </c>
      <c r="W69" s="186">
        <f>SUMIFS('Plan prihoda za unos u SAP'!$H$3:$H$500,'Plan prihoda za unos u SAP'!$C$3:$C$500,"=81",'Plan prihoda za unos u SAP'!$K$3:$K$500,"=722")</f>
        <v>0</v>
      </c>
    </row>
    <row r="70" spans="1:23" s="90" customFormat="1">
      <c r="A70" s="90">
        <v>2022</v>
      </c>
      <c r="B70" s="95" t="s">
        <v>304</v>
      </c>
      <c r="C70" s="100" t="s">
        <v>305</v>
      </c>
      <c r="D70" s="70">
        <f t="shared" si="11"/>
        <v>0</v>
      </c>
      <c r="E70" s="186">
        <f>SUMIFS('Plan prihoda za unos u SAP'!$H$3:$H$500,'Plan prihoda za unos u SAP'!$C$3:$C$500,"=11",'Plan prihoda za unos u SAP'!$K$3:$K$500,"=723")</f>
        <v>0</v>
      </c>
      <c r="F70" s="186">
        <f>SUMIFS('Plan prihoda za unos u SAP'!$H$3:$H$500,'Plan prihoda za unos u SAP'!$C$3:$C$500,"=12",'Plan prihoda za unos u SAP'!$K$3:$K$500,"=723")</f>
        <v>0</v>
      </c>
      <c r="G70" s="186">
        <f>SUMIFS('Plan prihoda za unos u SAP'!$H$3:$H$500,'Plan prihoda za unos u SAP'!$C$3:$C$500,"=31",'Plan prihoda za unos u SAP'!$K$3:$K$500,"=723")</f>
        <v>0</v>
      </c>
      <c r="H70" s="186">
        <f>SUMIFS('Plan prihoda za unos u SAP'!$H$3:$H$500,'Plan prihoda za unos u SAP'!$C$3:$C$500,"=41",'Plan prihoda za unos u SAP'!$K$3:$K$500,"=723")</f>
        <v>0</v>
      </c>
      <c r="I70" s="186">
        <f>SUMIFS('Plan prihoda za unos u SAP'!$H$3:$H$500,'Plan prihoda za unos u SAP'!$C$3:$C$500,"=43",'Plan prihoda za unos u SAP'!$K$3:$K$500,"=723")</f>
        <v>0</v>
      </c>
      <c r="J70" s="186">
        <f>SUMIFS('Plan prihoda za unos u SAP'!$H$3:$H$500,'Plan prihoda za unos u SAP'!$C$3:$C$500,"=51",'Plan prihoda za unos u SAP'!$K$3:$K$500,"=723")</f>
        <v>0</v>
      </c>
      <c r="K70" s="186">
        <f>SUMIFS('Plan prihoda za unos u SAP'!$H$3:$H$500,'Plan prihoda za unos u SAP'!$C$3:$C$500,"=52",'Plan prihoda za unos u SAP'!$K$3:$K$500,"=723")</f>
        <v>0</v>
      </c>
      <c r="L70" s="186">
        <f>SUMIFS('Plan prihoda za unos u SAP'!$H$3:$H$500,'Plan prihoda za unos u SAP'!$C$3:$C$500,"=552",'Plan prihoda za unos u SAP'!$K$3:$K$500,"=723")</f>
        <v>0</v>
      </c>
      <c r="M70" s="186">
        <f>SUMIFS('Plan prihoda za unos u SAP'!$H$3:$H$500,'Plan prihoda za unos u SAP'!$C$3:$C$500,"=559",'Plan prihoda za unos u SAP'!$K$3:$K$500,"=723")</f>
        <v>0</v>
      </c>
      <c r="N70" s="186">
        <f>SUMIFS('Plan prihoda za unos u SAP'!$H$3:$H$500,'Plan prihoda za unos u SAP'!$C$3:$C$500,"=561",'Plan prihoda za unos u SAP'!$K$3:$K$500,"=723")</f>
        <v>0</v>
      </c>
      <c r="O70" s="186">
        <f>SUMIFS('Plan prihoda za unos u SAP'!$H$3:$H$500,'Plan prihoda za unos u SAP'!$C$3:$C$500,"=563",'Plan prihoda za unos u SAP'!$K$3:$K$500,"=723")</f>
        <v>0</v>
      </c>
      <c r="P70" s="186">
        <f>SUMIFS('Plan prihoda za unos u SAP'!$H$3:$H$500,'Plan prihoda za unos u SAP'!$C$3:$C$500,"=573",'Plan prihoda za unos u SAP'!$K$3:$K$500,"=723")</f>
        <v>0</v>
      </c>
      <c r="Q70" s="186">
        <f>SUMIFS('Plan prihoda za unos u SAP'!$H$3:$H$500,'Plan prihoda za unos u SAP'!$C$3:$C$500,"=575",'Plan prihoda za unos u SAP'!$K$3:$K$500,"=723")</f>
        <v>0</v>
      </c>
      <c r="R70" s="186">
        <f>SUMIFS('Plan prihoda za unos u SAP'!$H$3:$H$500,'Plan prihoda za unos u SAP'!$C$3:$C$500,"=576",'Plan prihoda za unos u SAP'!$K$3:$K$500,"=723")</f>
        <v>0</v>
      </c>
      <c r="S70" s="186">
        <f>SUMIFS('Plan prihoda za unos u SAP'!$H$3:$H$500,'Plan prihoda za unos u SAP'!$C$3:$C$500,"=581",'Plan prihoda za unos u SAP'!$K$3:$K$500,"=723")</f>
        <v>0</v>
      </c>
      <c r="T70" s="186">
        <f>SUMIFS('Plan prihoda za unos u SAP'!$H$3:$H$500,'Plan prihoda za unos u SAP'!$C$3:$C$500,"=61",'Plan prihoda za unos u SAP'!$K$3:$K$500,"=723")</f>
        <v>0</v>
      </c>
      <c r="U70" s="186">
        <f>SUMIFS('Plan prihoda za unos u SAP'!$H$3:$H$500,'Plan prihoda za unos u SAP'!$C$3:$C$500,"=63",'Plan prihoda za unos u SAP'!$K$3:$K$500,"=723")</f>
        <v>0</v>
      </c>
      <c r="V70" s="186">
        <f>SUMIFS('Plan prihoda za unos u SAP'!$H$3:$H$500,'Plan prihoda za unos u SAP'!$C$3:$C$500,"=71",'Plan prihoda za unos u SAP'!$K$3:$K$500,"=723")</f>
        <v>0</v>
      </c>
      <c r="W70" s="186">
        <f>SUMIFS('Plan prihoda za unos u SAP'!$H$3:$H$500,'Plan prihoda za unos u SAP'!$C$3:$C$500,"=81",'Plan prihoda za unos u SAP'!$K$3:$K$500,"=723")</f>
        <v>0</v>
      </c>
    </row>
    <row r="71" spans="1:23" s="90" customFormat="1">
      <c r="A71" s="90">
        <v>2022</v>
      </c>
      <c r="B71" s="95" t="s">
        <v>314</v>
      </c>
      <c r="C71" s="100" t="s">
        <v>315</v>
      </c>
      <c r="D71" s="70">
        <f t="shared" si="11"/>
        <v>0</v>
      </c>
      <c r="E71" s="186">
        <f>SUMIFS('Plan prihoda za unos u SAP'!$H$3:$H$500,'Plan prihoda za unos u SAP'!$C$3:$C$500,"=11",'Plan prihoda za unos u SAP'!$K$3:$K$500,"=725")</f>
        <v>0</v>
      </c>
      <c r="F71" s="186">
        <f>SUMIFS('Plan prihoda za unos u SAP'!$H$3:$H$500,'Plan prihoda za unos u SAP'!$C$3:$C$500,"=12",'Plan prihoda za unos u SAP'!$K$3:$K$500,"=725")</f>
        <v>0</v>
      </c>
      <c r="G71" s="186">
        <f>SUMIFS('Plan prihoda za unos u SAP'!$H$3:$H$500,'Plan prihoda za unos u SAP'!$C$3:$C$500,"=31",'Plan prihoda za unos u SAP'!$K$3:$K$500,"=725")</f>
        <v>0</v>
      </c>
      <c r="H71" s="186">
        <f>SUMIFS('Plan prihoda za unos u SAP'!$H$3:$H$500,'Plan prihoda za unos u SAP'!$C$3:$C$500,"=41",'Plan prihoda za unos u SAP'!$K$3:$K$500,"=725")</f>
        <v>0</v>
      </c>
      <c r="I71" s="186">
        <f>SUMIFS('Plan prihoda za unos u SAP'!$H$3:$H$500,'Plan prihoda za unos u SAP'!$C$3:$C$500,"=43",'Plan prihoda za unos u SAP'!$K$3:$K$500,"=725")</f>
        <v>0</v>
      </c>
      <c r="J71" s="186">
        <f>SUMIFS('Plan prihoda za unos u SAP'!$H$3:$H$500,'Plan prihoda za unos u SAP'!$C$3:$C$500,"=51",'Plan prihoda za unos u SAP'!$K$3:$K$500,"=725")</f>
        <v>0</v>
      </c>
      <c r="K71" s="186">
        <f>SUMIFS('Plan prihoda za unos u SAP'!$H$3:$H$500,'Plan prihoda za unos u SAP'!$C$3:$C$500,"=52",'Plan prihoda za unos u SAP'!$K$3:$K$500,"=725")</f>
        <v>0</v>
      </c>
      <c r="L71" s="186">
        <f>SUMIFS('Plan prihoda za unos u SAP'!$H$3:$H$500,'Plan prihoda za unos u SAP'!$C$3:$C$500,"=552",'Plan prihoda za unos u SAP'!$K$3:$K$500,"=725")</f>
        <v>0</v>
      </c>
      <c r="M71" s="186">
        <f>SUMIFS('Plan prihoda za unos u SAP'!$H$3:$H$500,'Plan prihoda za unos u SAP'!$C$3:$C$500,"=559",'Plan prihoda za unos u SAP'!$K$3:$K$500,"=725")</f>
        <v>0</v>
      </c>
      <c r="N71" s="186">
        <f>SUMIFS('Plan prihoda za unos u SAP'!$H$3:$H$500,'Plan prihoda za unos u SAP'!$C$3:$C$500,"=561",'Plan prihoda za unos u SAP'!$K$3:$K$500,"=725")</f>
        <v>0</v>
      </c>
      <c r="O71" s="186">
        <f>SUMIFS('Plan prihoda za unos u SAP'!$H$3:$H$500,'Plan prihoda za unos u SAP'!$C$3:$C$500,"=563",'Plan prihoda za unos u SAP'!$K$3:$K$500,"=725")</f>
        <v>0</v>
      </c>
      <c r="P71" s="186">
        <f>SUMIFS('Plan prihoda za unos u SAP'!$H$3:$H$500,'Plan prihoda za unos u SAP'!$C$3:$C$500,"=573",'Plan prihoda za unos u SAP'!$K$3:$K$500,"=725")</f>
        <v>0</v>
      </c>
      <c r="Q71" s="186">
        <f>SUMIFS('Plan prihoda za unos u SAP'!$H$3:$H$500,'Plan prihoda za unos u SAP'!$C$3:$C$500,"=575",'Plan prihoda za unos u SAP'!$K$3:$K$500,"=725")</f>
        <v>0</v>
      </c>
      <c r="R71" s="186">
        <f>SUMIFS('Plan prihoda za unos u SAP'!$H$3:$H$500,'Plan prihoda za unos u SAP'!$C$3:$C$500,"=576",'Plan prihoda za unos u SAP'!$K$3:$K$500,"=725")</f>
        <v>0</v>
      </c>
      <c r="S71" s="186">
        <f>SUMIFS('Plan prihoda za unos u SAP'!$H$3:$H$500,'Plan prihoda za unos u SAP'!$C$3:$C$500,"=581",'Plan prihoda za unos u SAP'!$K$3:$K$500,"=725")</f>
        <v>0</v>
      </c>
      <c r="T71" s="186">
        <f>SUMIFS('Plan prihoda za unos u SAP'!$H$3:$H$500,'Plan prihoda za unos u SAP'!$C$3:$C$500,"=61",'Plan prihoda za unos u SAP'!$K$3:$K$500,"=725")</f>
        <v>0</v>
      </c>
      <c r="U71" s="186">
        <f>SUMIFS('Plan prihoda za unos u SAP'!$H$3:$H$500,'Plan prihoda za unos u SAP'!$C$3:$C$500,"=63",'Plan prihoda za unos u SAP'!$K$3:$K$500,"=725")</f>
        <v>0</v>
      </c>
      <c r="V71" s="186">
        <f>SUMIFS('Plan prihoda za unos u SAP'!$H$3:$H$500,'Plan prihoda za unos u SAP'!$C$3:$C$500,"=71",'Plan prihoda za unos u SAP'!$K$3:$K$500,"=725")</f>
        <v>0</v>
      </c>
      <c r="W71" s="186">
        <f>SUMIFS('Plan prihoda za unos u SAP'!$H$3:$H$500,'Plan prihoda za unos u SAP'!$C$3:$C$500,"=81",'Plan prihoda za unos u SAP'!$K$3:$K$500,"=725")</f>
        <v>0</v>
      </c>
    </row>
    <row r="72" spans="1:23" s="90" customFormat="1">
      <c r="A72" s="90">
        <v>2022</v>
      </c>
      <c r="B72" s="98" t="s">
        <v>306</v>
      </c>
      <c r="C72" s="99" t="s">
        <v>299</v>
      </c>
      <c r="D72" s="70">
        <f t="shared" si="11"/>
        <v>30000</v>
      </c>
      <c r="E72" s="4">
        <f>SUM(E66:E71)</f>
        <v>0</v>
      </c>
      <c r="F72" s="4">
        <f t="shared" ref="F72:W72" si="18">SUM(F66:F71)</f>
        <v>0</v>
      </c>
      <c r="G72" s="4">
        <f t="shared" si="18"/>
        <v>0</v>
      </c>
      <c r="H72" s="4">
        <f>SUM(H66:H71)</f>
        <v>0</v>
      </c>
      <c r="I72" s="4">
        <f t="shared" si="18"/>
        <v>0</v>
      </c>
      <c r="J72" s="4">
        <f t="shared" si="18"/>
        <v>0</v>
      </c>
      <c r="K72" s="4">
        <f t="shared" si="18"/>
        <v>0</v>
      </c>
      <c r="L72" s="4">
        <f>SUM(L66:L71)</f>
        <v>0</v>
      </c>
      <c r="M72" s="4">
        <f t="shared" si="18"/>
        <v>0</v>
      </c>
      <c r="N72" s="4">
        <f t="shared" si="18"/>
        <v>0</v>
      </c>
      <c r="O72" s="4">
        <f t="shared" si="18"/>
        <v>0</v>
      </c>
      <c r="P72" s="4">
        <f>SUM(P66:P71)</f>
        <v>0</v>
      </c>
      <c r="Q72" s="4">
        <f>SUM(Q66:Q71)</f>
        <v>0</v>
      </c>
      <c r="R72" s="4">
        <f>SUM(R66:R71)</f>
        <v>0</v>
      </c>
      <c r="S72" s="4">
        <f>SUM(S66:S71)</f>
        <v>0</v>
      </c>
      <c r="T72" s="4">
        <f t="shared" si="18"/>
        <v>0</v>
      </c>
      <c r="U72" s="4">
        <f t="shared" si="18"/>
        <v>0</v>
      </c>
      <c r="V72" s="4">
        <f t="shared" si="18"/>
        <v>30000</v>
      </c>
      <c r="W72" s="4">
        <f t="shared" si="18"/>
        <v>0</v>
      </c>
    </row>
    <row r="73" spans="1:23" s="90" customFormat="1">
      <c r="A73" s="90">
        <v>2022</v>
      </c>
      <c r="B73" s="101">
        <v>818</v>
      </c>
      <c r="C73" s="102" t="s">
        <v>1374</v>
      </c>
      <c r="D73" s="70">
        <f t="shared" si="11"/>
        <v>0</v>
      </c>
      <c r="E73" s="186">
        <f>SUMIFS('Plan prihoda za unos u SAP'!$H$3:$H$500,'Plan prihoda za unos u SAP'!$C$3:$C$500,"=11",'Plan prihoda za unos u SAP'!$K$3:$K$500,"=818")</f>
        <v>0</v>
      </c>
      <c r="F73" s="186">
        <f>SUMIFS('Plan prihoda za unos u SAP'!$H$3:$H$500,'Plan prihoda za unos u SAP'!$C$3:$C$500,"=12",'Plan prihoda za unos u SAP'!$K$3:$K$500,"=818")</f>
        <v>0</v>
      </c>
      <c r="G73" s="186">
        <f>SUMIFS('Plan prihoda za unos u SAP'!$H$3:$H$500,'Plan prihoda za unos u SAP'!$C$3:$C$500,"=31",'Plan prihoda za unos u SAP'!$K$3:$K$500,"=818")</f>
        <v>0</v>
      </c>
      <c r="H73" s="186">
        <f>SUMIFS('Plan prihoda za unos u SAP'!$H$3:$H$500,'Plan prihoda za unos u SAP'!$C$3:$C$500,"=41",'Plan prihoda za unos u SAP'!$K$3:$K$500,"=818")</f>
        <v>0</v>
      </c>
      <c r="I73" s="186">
        <f>SUMIFS('Plan prihoda za unos u SAP'!$H$3:$H$500,'Plan prihoda za unos u SAP'!$C$3:$C$500,"=43",'Plan prihoda za unos u SAP'!$K$3:$K$500,"=818")</f>
        <v>0</v>
      </c>
      <c r="J73" s="186">
        <f>SUMIFS('Plan prihoda za unos u SAP'!$H$3:$H$500,'Plan prihoda za unos u SAP'!$C$3:$C$500,"=51",'Plan prihoda za unos u SAP'!$K$3:$K$500,"=818")</f>
        <v>0</v>
      </c>
      <c r="K73" s="186">
        <f>SUMIFS('Plan prihoda za unos u SAP'!$H$3:$H$500,'Plan prihoda za unos u SAP'!$C$3:$C$500,"=52",'Plan prihoda za unos u SAP'!$K$3:$K$500,"=818")</f>
        <v>0</v>
      </c>
      <c r="L73" s="186">
        <f>SUMIFS('Plan prihoda za unos u SAP'!$H$3:$H$500,'Plan prihoda za unos u SAP'!$C$3:$C$500,"=552",'Plan prihoda za unos u SAP'!$K$3:$K$500,"=818")</f>
        <v>0</v>
      </c>
      <c r="M73" s="186">
        <f>SUMIFS('Plan prihoda za unos u SAP'!$H$3:$H$500,'Plan prihoda za unos u SAP'!$C$3:$C$500,"=559",'Plan prihoda za unos u SAP'!$K$3:$K$500,"=818")</f>
        <v>0</v>
      </c>
      <c r="N73" s="186">
        <f>SUMIFS('Plan prihoda za unos u SAP'!$H$3:$H$500,'Plan prihoda za unos u SAP'!$C$3:$C$500,"=561",'Plan prihoda za unos u SAP'!$K$3:$K$500,"=818")</f>
        <v>0</v>
      </c>
      <c r="O73" s="186">
        <f>SUMIFS('Plan prihoda za unos u SAP'!$H$3:$H$500,'Plan prihoda za unos u SAP'!$C$3:$C$500,"=563",'Plan prihoda za unos u SAP'!$K$3:$K$500,"=818")</f>
        <v>0</v>
      </c>
      <c r="P73" s="186">
        <f>SUMIFS('Plan prihoda za unos u SAP'!$H$3:$H$500,'Plan prihoda za unos u SAP'!$C$3:$C$500,"=573",'Plan prihoda za unos u SAP'!$K$3:$K$500,"=818")</f>
        <v>0</v>
      </c>
      <c r="Q73" s="186">
        <f>SUMIFS('Plan prihoda za unos u SAP'!$H$3:$H$500,'Plan prihoda za unos u SAP'!$C$3:$C$500,"=575",'Plan prihoda za unos u SAP'!$K$3:$K$500,"=818")</f>
        <v>0</v>
      </c>
      <c r="R73" s="186">
        <f>SUMIFS('Plan prihoda za unos u SAP'!$H$3:$H$500,'Plan prihoda za unos u SAP'!$C$3:$C$500,"=576",'Plan prihoda za unos u SAP'!$K$3:$K$500,"=818")</f>
        <v>0</v>
      </c>
      <c r="S73" s="186">
        <f>SUMIFS('Plan prihoda za unos u SAP'!$H$3:$H$500,'Plan prihoda za unos u SAP'!$C$3:$C$500,"=581",'Plan prihoda za unos u SAP'!$K$3:$K$500,"=818")</f>
        <v>0</v>
      </c>
      <c r="T73" s="186">
        <f>SUMIFS('Plan prihoda za unos u SAP'!$H$3:$H$500,'Plan prihoda za unos u SAP'!$C$3:$C$500,"=61",'Plan prihoda za unos u SAP'!$K$3:$K$500,"=818")</f>
        <v>0</v>
      </c>
      <c r="U73" s="186">
        <f>SUMIFS('Plan prihoda za unos u SAP'!$H$3:$H$500,'Plan prihoda za unos u SAP'!$C$3:$C$500,"=63",'Plan prihoda za unos u SAP'!$K$3:$K$500,"=818")</f>
        <v>0</v>
      </c>
      <c r="V73" s="186">
        <f>SUMIFS('Plan prihoda za unos u SAP'!$H$3:$H$500,'Plan prihoda za unos u SAP'!$C$3:$C$500,"=71",'Plan prihoda za unos u SAP'!$K$3:$K$500,"=818")</f>
        <v>0</v>
      </c>
      <c r="W73" s="186">
        <f>SUMIFS('Plan prihoda za unos u SAP'!$H$3:$H$500,'Plan prihoda za unos u SAP'!$C$3:$C$500,"=81",'Plan prihoda za unos u SAP'!$K$3:$K$500,"=818")</f>
        <v>0</v>
      </c>
    </row>
    <row r="74" spans="1:23" s="90" customFormat="1">
      <c r="A74" s="90">
        <v>2022</v>
      </c>
      <c r="B74" s="101">
        <v>832</v>
      </c>
      <c r="C74" s="102" t="s">
        <v>1375</v>
      </c>
      <c r="D74" s="70">
        <f t="shared" si="11"/>
        <v>0</v>
      </c>
      <c r="E74" s="186">
        <f>SUMIFS('Plan prihoda za unos u SAP'!$H$3:$H$500,'Plan prihoda za unos u SAP'!$C$3:$C$500,"=11",'Plan prihoda za unos u SAP'!$K$3:$K$500,"=832")</f>
        <v>0</v>
      </c>
      <c r="F74" s="186">
        <f>SUMIFS('Plan prihoda za unos u SAP'!$H$3:$H$500,'Plan prihoda za unos u SAP'!$C$3:$C$500,"=12",'Plan prihoda za unos u SAP'!$K$3:$K$500,"=832")</f>
        <v>0</v>
      </c>
      <c r="G74" s="186">
        <f>SUMIFS('Plan prihoda za unos u SAP'!$H$3:$H$500,'Plan prihoda za unos u SAP'!$C$3:$C$500,"=31",'Plan prihoda za unos u SAP'!$K$3:$K$500,"=832")</f>
        <v>0</v>
      </c>
      <c r="H74" s="186">
        <f>SUMIFS('Plan prihoda za unos u SAP'!$H$3:$H$500,'Plan prihoda za unos u SAP'!$C$3:$C$500,"=41",'Plan prihoda za unos u SAP'!$K$3:$K$500,"=832")</f>
        <v>0</v>
      </c>
      <c r="I74" s="186">
        <f>SUMIFS('Plan prihoda za unos u SAP'!$H$3:$H$500,'Plan prihoda za unos u SAP'!$C$3:$C$500,"=43",'Plan prihoda za unos u SAP'!$K$3:$K$500,"=832")</f>
        <v>0</v>
      </c>
      <c r="J74" s="186">
        <f>SUMIFS('Plan prihoda za unos u SAP'!$H$3:$H$500,'Plan prihoda za unos u SAP'!$C$3:$C$500,"=51",'Plan prihoda za unos u SAP'!$K$3:$K$500,"=832")</f>
        <v>0</v>
      </c>
      <c r="K74" s="186">
        <f>SUMIFS('Plan prihoda za unos u SAP'!$H$3:$H$500,'Plan prihoda za unos u SAP'!$C$3:$C$500,"=52",'Plan prihoda za unos u SAP'!$K$3:$K$500,"=832")</f>
        <v>0</v>
      </c>
      <c r="L74" s="186">
        <f>SUMIFS('Plan prihoda za unos u SAP'!$H$3:$H$500,'Plan prihoda za unos u SAP'!$C$3:$C$500,"=552",'Plan prihoda za unos u SAP'!$K$3:$K$500,"=832")</f>
        <v>0</v>
      </c>
      <c r="M74" s="186">
        <f>SUMIFS('Plan prihoda za unos u SAP'!$H$3:$H$500,'Plan prihoda za unos u SAP'!$C$3:$C$500,"=559",'Plan prihoda za unos u SAP'!$K$3:$K$500,"=832")</f>
        <v>0</v>
      </c>
      <c r="N74" s="186">
        <f>SUMIFS('Plan prihoda za unos u SAP'!$H$3:$H$500,'Plan prihoda za unos u SAP'!$C$3:$C$500,"=561",'Plan prihoda za unos u SAP'!$K$3:$K$500,"=832")</f>
        <v>0</v>
      </c>
      <c r="O74" s="186">
        <f>SUMIFS('Plan prihoda za unos u SAP'!$H$3:$H$500,'Plan prihoda za unos u SAP'!$C$3:$C$500,"=563",'Plan prihoda za unos u SAP'!$K$3:$K$500,"=832")</f>
        <v>0</v>
      </c>
      <c r="P74" s="186">
        <f>SUMIFS('Plan prihoda za unos u SAP'!$H$3:$H$500,'Plan prihoda za unos u SAP'!$C$3:$C$500,"=573",'Plan prihoda za unos u SAP'!$K$3:$K$500,"=832")</f>
        <v>0</v>
      </c>
      <c r="Q74" s="186">
        <f>SUMIFS('Plan prihoda za unos u SAP'!$H$3:$H$500,'Plan prihoda za unos u SAP'!$C$3:$C$500,"=575",'Plan prihoda za unos u SAP'!$K$3:$K$500,"=832")</f>
        <v>0</v>
      </c>
      <c r="R74" s="186">
        <f>SUMIFS('Plan prihoda za unos u SAP'!$H$3:$H$500,'Plan prihoda za unos u SAP'!$C$3:$C$500,"=576",'Plan prihoda za unos u SAP'!$K$3:$K$500,"=832")</f>
        <v>0</v>
      </c>
      <c r="S74" s="186">
        <f>SUMIFS('Plan prihoda za unos u SAP'!$H$3:$H$500,'Plan prihoda za unos u SAP'!$C$3:$C$500,"=581",'Plan prihoda za unos u SAP'!$K$3:$K$500,"=832")</f>
        <v>0</v>
      </c>
      <c r="T74" s="186">
        <f>SUMIFS('Plan prihoda za unos u SAP'!$H$3:$H$500,'Plan prihoda za unos u SAP'!$C$3:$C$500,"=61",'Plan prihoda za unos u SAP'!$K$3:$K$500,"=832")</f>
        <v>0</v>
      </c>
      <c r="U74" s="186">
        <f>SUMIFS('Plan prihoda za unos u SAP'!$H$3:$H$500,'Plan prihoda za unos u SAP'!$C$3:$C$500,"=63",'Plan prihoda za unos u SAP'!$K$3:$K$500,"=832")</f>
        <v>0</v>
      </c>
      <c r="V74" s="186">
        <f>SUMIFS('Plan prihoda za unos u SAP'!$H$3:$H$500,'Plan prihoda za unos u SAP'!$C$3:$C$500,"=71",'Plan prihoda za unos u SAP'!$K$3:$K$500,"=832")</f>
        <v>0</v>
      </c>
      <c r="W74" s="186">
        <f>SUMIFS('Plan prihoda za unos u SAP'!$H$3:$H$500,'Plan prihoda za unos u SAP'!$C$3:$C$500,"=81",'Plan prihoda za unos u SAP'!$K$3:$K$500,"=832")</f>
        <v>0</v>
      </c>
    </row>
    <row r="75" spans="1:23" s="90" customFormat="1" ht="25.5">
      <c r="A75" s="90">
        <v>2022</v>
      </c>
      <c r="B75" s="101">
        <v>833</v>
      </c>
      <c r="C75" s="102" t="s">
        <v>1904</v>
      </c>
      <c r="D75" s="70">
        <f t="shared" si="11"/>
        <v>0</v>
      </c>
      <c r="E75" s="186">
        <f>SUMIFS('Plan prihoda za unos u SAP'!$H$3:$H$500,'Plan prihoda za unos u SAP'!$C$3:$C$500,"=11",'Plan prihoda za unos u SAP'!$K$3:$K$500,"=833")</f>
        <v>0</v>
      </c>
      <c r="F75" s="186">
        <f>SUMIFS('Plan prihoda za unos u SAP'!$H$3:$H$500,'Plan prihoda za unos u SAP'!$C$3:$C$500,"=12",'Plan prihoda za unos u SAP'!$K$3:$K$500,"=833")</f>
        <v>0</v>
      </c>
      <c r="G75" s="186">
        <f>SUMIFS('Plan prihoda za unos u SAP'!$H$3:$H$500,'Plan prihoda za unos u SAP'!$C$3:$C$500,"=31",'Plan prihoda za unos u SAP'!$K$3:$K$500,"=833")</f>
        <v>0</v>
      </c>
      <c r="H75" s="186">
        <f>SUMIFS('Plan prihoda za unos u SAP'!$H$3:$H$500,'Plan prihoda za unos u SAP'!$C$3:$C$500,"=41",'Plan prihoda za unos u SAP'!$K$3:$K$500,"=833")</f>
        <v>0</v>
      </c>
      <c r="I75" s="186">
        <f>SUMIFS('Plan prihoda za unos u SAP'!$H$3:$H$500,'Plan prihoda za unos u SAP'!$C$3:$C$500,"=43",'Plan prihoda za unos u SAP'!$K$3:$K$500,"=833")</f>
        <v>0</v>
      </c>
      <c r="J75" s="186">
        <f>SUMIFS('Plan prihoda za unos u SAP'!$H$3:$H$500,'Plan prihoda za unos u SAP'!$C$3:$C$500,"=51",'Plan prihoda za unos u SAP'!$K$3:$K$500,"=833")</f>
        <v>0</v>
      </c>
      <c r="K75" s="186">
        <f>SUMIFS('Plan prihoda za unos u SAP'!$H$3:$H$500,'Plan prihoda za unos u SAP'!$C$3:$C$500,"=52",'Plan prihoda za unos u SAP'!$K$3:$K$500,"=833")</f>
        <v>0</v>
      </c>
      <c r="L75" s="186">
        <f>SUMIFS('Plan prihoda za unos u SAP'!$H$3:$H$500,'Plan prihoda za unos u SAP'!$C$3:$C$500,"=552",'Plan prihoda za unos u SAP'!$K$3:$K$500,"=833")</f>
        <v>0</v>
      </c>
      <c r="M75" s="186">
        <f>SUMIFS('Plan prihoda za unos u SAP'!$H$3:$H$500,'Plan prihoda za unos u SAP'!$C$3:$C$500,"=559",'Plan prihoda za unos u SAP'!$K$3:$K$500,"=833")</f>
        <v>0</v>
      </c>
      <c r="N75" s="186">
        <f>SUMIFS('Plan prihoda za unos u SAP'!$H$3:$H$500,'Plan prihoda za unos u SAP'!$C$3:$C$500,"=561",'Plan prihoda za unos u SAP'!$K$3:$K$500,"=833")</f>
        <v>0</v>
      </c>
      <c r="O75" s="186">
        <f>SUMIFS('Plan prihoda za unos u SAP'!$H$3:$H$500,'Plan prihoda za unos u SAP'!$C$3:$C$500,"=563",'Plan prihoda za unos u SAP'!$K$3:$K$500,"=833")</f>
        <v>0</v>
      </c>
      <c r="P75" s="186">
        <f>SUMIFS('Plan prihoda za unos u SAP'!$H$3:$H$500,'Plan prihoda za unos u SAP'!$C$3:$C$500,"=573",'Plan prihoda za unos u SAP'!$K$3:$K$500,"=833")</f>
        <v>0</v>
      </c>
      <c r="Q75" s="186">
        <f>SUMIFS('Plan prihoda za unos u SAP'!$H$3:$H$500,'Plan prihoda za unos u SAP'!$C$3:$C$500,"=575",'Plan prihoda za unos u SAP'!$K$3:$K$500,"=833")</f>
        <v>0</v>
      </c>
      <c r="R75" s="186">
        <f>SUMIFS('Plan prihoda za unos u SAP'!$H$3:$H$500,'Plan prihoda za unos u SAP'!$C$3:$C$500,"=576",'Plan prihoda za unos u SAP'!$K$3:$K$500,"=833")</f>
        <v>0</v>
      </c>
      <c r="S75" s="186">
        <f>SUMIFS('Plan prihoda za unos u SAP'!$H$3:$H$500,'Plan prihoda za unos u SAP'!$C$3:$C$500,"=581",'Plan prihoda za unos u SAP'!$K$3:$K$500,"=833")</f>
        <v>0</v>
      </c>
      <c r="T75" s="186">
        <f>SUMIFS('Plan prihoda za unos u SAP'!$H$3:$H$500,'Plan prihoda za unos u SAP'!$C$3:$C$500,"=61",'Plan prihoda za unos u SAP'!$K$3:$K$500,"=833")</f>
        <v>0</v>
      </c>
      <c r="U75" s="186">
        <f>SUMIFS('Plan prihoda za unos u SAP'!$H$3:$H$500,'Plan prihoda za unos u SAP'!$C$3:$C$500,"=63",'Plan prihoda za unos u SAP'!$K$3:$K$500,"=833")</f>
        <v>0</v>
      </c>
      <c r="V75" s="186">
        <f>SUMIFS('Plan prihoda za unos u SAP'!$H$3:$H$500,'Plan prihoda za unos u SAP'!$C$3:$C$500,"=71",'Plan prihoda za unos u SAP'!$K$3:$K$500,"=833")</f>
        <v>0</v>
      </c>
      <c r="W75" s="186">
        <f>SUMIFS('Plan prihoda za unos u SAP'!$H$3:$H$500,'Plan prihoda za unos u SAP'!$C$3:$C$500,"=81",'Plan prihoda za unos u SAP'!$K$3:$K$500,"=833")</f>
        <v>0</v>
      </c>
    </row>
    <row r="76" spans="1:23" s="90" customFormat="1" ht="25.5">
      <c r="A76" s="90">
        <v>2022</v>
      </c>
      <c r="B76" s="101">
        <v>841</v>
      </c>
      <c r="C76" s="102" t="s">
        <v>1376</v>
      </c>
      <c r="D76" s="70">
        <f t="shared" si="11"/>
        <v>0</v>
      </c>
      <c r="E76" s="186">
        <f>SUMIFS('Plan prihoda za unos u SAP'!$H$3:$H$500,'Plan prihoda za unos u SAP'!$C$3:$C$500,"=11",'Plan prihoda za unos u SAP'!$K$3:$K$500,"=841")</f>
        <v>0</v>
      </c>
      <c r="F76" s="186">
        <f>SUMIFS('Plan prihoda za unos u SAP'!$H$3:$H$500,'Plan prihoda za unos u SAP'!$C$3:$C$500,"=12",'Plan prihoda za unos u SAP'!$K$3:$K$500,"=841")</f>
        <v>0</v>
      </c>
      <c r="G76" s="186">
        <f>SUMIFS('Plan prihoda za unos u SAP'!$H$3:$H$500,'Plan prihoda za unos u SAP'!$C$3:$C$500,"=31",'Plan prihoda za unos u SAP'!$K$3:$K$500,"=841")</f>
        <v>0</v>
      </c>
      <c r="H76" s="186">
        <f>SUMIFS('Plan prihoda za unos u SAP'!$H$3:$H$500,'Plan prihoda za unos u SAP'!$C$3:$C$500,"=41",'Plan prihoda za unos u SAP'!$K$3:$K$500,"=841")</f>
        <v>0</v>
      </c>
      <c r="I76" s="186">
        <f>SUMIFS('Plan prihoda za unos u SAP'!$H$3:$H$500,'Plan prihoda za unos u SAP'!$C$3:$C$500,"=43",'Plan prihoda za unos u SAP'!$K$3:$K$500,"=841")</f>
        <v>0</v>
      </c>
      <c r="J76" s="186">
        <f>SUMIFS('Plan prihoda za unos u SAP'!$H$3:$H$500,'Plan prihoda za unos u SAP'!$C$3:$C$500,"=51",'Plan prihoda za unos u SAP'!$K$3:$K$500,"=841")</f>
        <v>0</v>
      </c>
      <c r="K76" s="186">
        <f>SUMIFS('Plan prihoda za unos u SAP'!$H$3:$H$500,'Plan prihoda za unos u SAP'!$C$3:$C$500,"=52",'Plan prihoda za unos u SAP'!$K$3:$K$500,"=841")</f>
        <v>0</v>
      </c>
      <c r="L76" s="186">
        <f>SUMIFS('Plan prihoda za unos u SAP'!$H$3:$H$500,'Plan prihoda za unos u SAP'!$C$3:$C$500,"=552",'Plan prihoda za unos u SAP'!$K$3:$K$500,"=841")</f>
        <v>0</v>
      </c>
      <c r="M76" s="186">
        <f>SUMIFS('Plan prihoda za unos u SAP'!$H$3:$H$500,'Plan prihoda za unos u SAP'!$C$3:$C$500,"=559",'Plan prihoda za unos u SAP'!$K$3:$K$500,"=841")</f>
        <v>0</v>
      </c>
      <c r="N76" s="186">
        <f>SUMIFS('Plan prihoda za unos u SAP'!$H$3:$H$500,'Plan prihoda za unos u SAP'!$C$3:$C$500,"=561",'Plan prihoda za unos u SAP'!$K$3:$K$500,"=841")</f>
        <v>0</v>
      </c>
      <c r="O76" s="186">
        <f>SUMIFS('Plan prihoda za unos u SAP'!$H$3:$H$500,'Plan prihoda za unos u SAP'!$C$3:$C$500,"=563",'Plan prihoda za unos u SAP'!$K$3:$K$500,"=841")</f>
        <v>0</v>
      </c>
      <c r="P76" s="186">
        <f>SUMIFS('Plan prihoda za unos u SAP'!$H$3:$H$500,'Plan prihoda za unos u SAP'!$C$3:$C$500,"=573",'Plan prihoda za unos u SAP'!$K$3:$K$500,"=841")</f>
        <v>0</v>
      </c>
      <c r="Q76" s="186">
        <f>SUMIFS('Plan prihoda za unos u SAP'!$H$3:$H$500,'Plan prihoda za unos u SAP'!$C$3:$C$500,"=575",'Plan prihoda za unos u SAP'!$K$3:$K$500,"=841")</f>
        <v>0</v>
      </c>
      <c r="R76" s="186">
        <f>SUMIFS('Plan prihoda za unos u SAP'!$H$3:$H$500,'Plan prihoda za unos u SAP'!$C$3:$C$500,"=576",'Plan prihoda za unos u SAP'!$K$3:$K$500,"=841")</f>
        <v>0</v>
      </c>
      <c r="S76" s="186">
        <f>SUMIFS('Plan prihoda za unos u SAP'!$H$3:$H$500,'Plan prihoda za unos u SAP'!$C$3:$C$500,"=581",'Plan prihoda za unos u SAP'!$K$3:$K$500,"=841")</f>
        <v>0</v>
      </c>
      <c r="T76" s="186">
        <f>SUMIFS('Plan prihoda za unos u SAP'!$H$3:$H$500,'Plan prihoda za unos u SAP'!$C$3:$C$500,"=61",'Plan prihoda za unos u SAP'!$K$3:$K$500,"=841")</f>
        <v>0</v>
      </c>
      <c r="U76" s="186">
        <f>SUMIFS('Plan prihoda za unos u SAP'!$H$3:$H$500,'Plan prihoda za unos u SAP'!$C$3:$C$500,"=63",'Plan prihoda za unos u SAP'!$K$3:$K$500,"=841")</f>
        <v>0</v>
      </c>
      <c r="V76" s="186">
        <f>SUMIFS('Plan prihoda za unos u SAP'!$H$3:$H$500,'Plan prihoda za unos u SAP'!$C$3:$C$500,"=71",'Plan prihoda za unos u SAP'!$K$3:$K$500,"=841")</f>
        <v>0</v>
      </c>
      <c r="W76" s="186">
        <f>SUMIFS('Plan prihoda za unos u SAP'!$H$3:$H$500,'Plan prihoda za unos u SAP'!$C$3:$C$500,"=81",'Plan prihoda za unos u SAP'!$K$3:$K$500,"=841")</f>
        <v>0</v>
      </c>
    </row>
    <row r="77" spans="1:23" s="90" customFormat="1" ht="25.5">
      <c r="A77" s="90">
        <v>2022</v>
      </c>
      <c r="B77" s="101">
        <v>842</v>
      </c>
      <c r="C77" s="102" t="s">
        <v>316</v>
      </c>
      <c r="D77" s="70">
        <f t="shared" si="11"/>
        <v>0</v>
      </c>
      <c r="E77" s="185">
        <f>SUMIFS('Plan prihoda za unos u SAP'!$H$3:$H$500,'Plan prihoda za unos u SAP'!$C$3:$C$500,"=11",'Plan prihoda za unos u SAP'!$K$3:$K$500,"=842")</f>
        <v>0</v>
      </c>
      <c r="F77" s="185">
        <f>SUMIFS('Plan prihoda za unos u SAP'!$H$3:$H$500,'Plan prihoda za unos u SAP'!$C$3:$C$500,"=12",'Plan prihoda za unos u SAP'!$K$3:$K$500,"=842")</f>
        <v>0</v>
      </c>
      <c r="G77" s="185">
        <f>SUMIFS('Plan prihoda za unos u SAP'!$H$3:$H$500,'Plan prihoda za unos u SAP'!$C$3:$C$500,"=31",'Plan prihoda za unos u SAP'!$K$3:$K$500,"=842")</f>
        <v>0</v>
      </c>
      <c r="H77" s="185">
        <f>SUMIFS('Plan prihoda za unos u SAP'!$H$3:$H$500,'Plan prihoda za unos u SAP'!$C$3:$C$500,"=41",'Plan prihoda za unos u SAP'!$K$3:$K$500,"=842")</f>
        <v>0</v>
      </c>
      <c r="I77" s="185">
        <f>SUMIFS('Plan prihoda za unos u SAP'!$H$3:$H$500,'Plan prihoda za unos u SAP'!$C$3:$C$500,"=43",'Plan prihoda za unos u SAP'!$K$3:$K$500,"=842")</f>
        <v>0</v>
      </c>
      <c r="J77" s="185">
        <f>SUMIFS('Plan prihoda za unos u SAP'!$H$3:$H$500,'Plan prihoda za unos u SAP'!$C$3:$C$500,"=51",'Plan prihoda za unos u SAP'!$K$3:$K$500,"=842")</f>
        <v>0</v>
      </c>
      <c r="K77" s="185">
        <f>SUMIFS('Plan prihoda za unos u SAP'!$H$3:$H$500,'Plan prihoda za unos u SAP'!$C$3:$C$500,"=52",'Plan prihoda za unos u SAP'!$K$3:$K$500,"=842")</f>
        <v>0</v>
      </c>
      <c r="L77" s="185">
        <f>SUMIFS('Plan prihoda za unos u SAP'!$H$3:$H$500,'Plan prihoda za unos u SAP'!$C$3:$C$500,"=552",'Plan prihoda za unos u SAP'!$K$3:$K$500,"=842")</f>
        <v>0</v>
      </c>
      <c r="M77" s="185">
        <f>SUMIFS('Plan prihoda za unos u SAP'!$H$3:$H$500,'Plan prihoda za unos u SAP'!$C$3:$C$500,"=559",'Plan prihoda za unos u SAP'!$K$3:$K$500,"=842")</f>
        <v>0</v>
      </c>
      <c r="N77" s="185">
        <f>SUMIFS('Plan prihoda za unos u SAP'!$H$3:$H$500,'Plan prihoda za unos u SAP'!$C$3:$C$500,"=561",'Plan prihoda za unos u SAP'!$K$3:$K$500,"=842")</f>
        <v>0</v>
      </c>
      <c r="O77" s="185">
        <f>SUMIFS('Plan prihoda za unos u SAP'!$H$3:$H$500,'Plan prihoda za unos u SAP'!$C$3:$C$500,"=563",'Plan prihoda za unos u SAP'!$K$3:$K$500,"=842")</f>
        <v>0</v>
      </c>
      <c r="P77" s="185">
        <f>SUMIFS('Plan prihoda za unos u SAP'!$H$3:$H$500,'Plan prihoda za unos u SAP'!$C$3:$C$500,"=573",'Plan prihoda za unos u SAP'!$K$3:$K$500,"=842")</f>
        <v>0</v>
      </c>
      <c r="Q77" s="185">
        <f>SUMIFS('Plan prihoda za unos u SAP'!$H$3:$H$500,'Plan prihoda za unos u SAP'!$C$3:$C$500,"=575",'Plan prihoda za unos u SAP'!$K$3:$K$500,"=842")</f>
        <v>0</v>
      </c>
      <c r="R77" s="185">
        <f>SUMIFS('Plan prihoda za unos u SAP'!$H$3:$H$500,'Plan prihoda za unos u SAP'!$C$3:$C$500,"=576",'Plan prihoda za unos u SAP'!$K$3:$K$500,"=842")</f>
        <v>0</v>
      </c>
      <c r="S77" s="185">
        <f>SUMIFS('Plan prihoda za unos u SAP'!$H$3:$H$500,'Plan prihoda za unos u SAP'!$C$3:$C$500,"=581",'Plan prihoda za unos u SAP'!$K$3:$K$500,"=842")</f>
        <v>0</v>
      </c>
      <c r="T77" s="185">
        <f>SUMIFS('Plan prihoda za unos u SAP'!$H$3:$H$500,'Plan prihoda za unos u SAP'!$C$3:$C$500,"=61",'Plan prihoda za unos u SAP'!$K$3:$K$500,"=842")</f>
        <v>0</v>
      </c>
      <c r="U77" s="185">
        <f>SUMIFS('Plan prihoda za unos u SAP'!$H$3:$H$500,'Plan prihoda za unos u SAP'!$C$3:$C$500,"=63",'Plan prihoda za unos u SAP'!$K$3:$K$500,"=842")</f>
        <v>0</v>
      </c>
      <c r="V77" s="185">
        <f>SUMIFS('Plan prihoda za unos u SAP'!$H$3:$H$500,'Plan prihoda za unos u SAP'!$C$3:$C$500,"=71",'Plan prihoda za unos u SAP'!$K$3:$K$500,"=842")</f>
        <v>0</v>
      </c>
      <c r="W77" s="185">
        <f>SUMIFS('Plan prihoda za unos u SAP'!$H$3:$H$500,'Plan prihoda za unos u SAP'!$C$3:$C$500,"=81",'Plan prihoda za unos u SAP'!$K$3:$K$500,"=842")</f>
        <v>0</v>
      </c>
    </row>
    <row r="78" spans="1:23" s="90" customFormat="1">
      <c r="A78" s="90">
        <v>2022</v>
      </c>
      <c r="B78" s="98" t="s">
        <v>307</v>
      </c>
      <c r="C78" s="99" t="s">
        <v>299</v>
      </c>
      <c r="D78" s="70">
        <f t="shared" si="11"/>
        <v>0</v>
      </c>
      <c r="E78" s="4">
        <f>SUM(E73:E77)</f>
        <v>0</v>
      </c>
      <c r="F78" s="4">
        <f>SUM(F73:F77)</f>
        <v>0</v>
      </c>
      <c r="G78" s="4">
        <f t="shared" ref="G78:W78" si="19">SUM(G73:G77)</f>
        <v>0</v>
      </c>
      <c r="H78" s="4">
        <f t="shared" si="19"/>
        <v>0</v>
      </c>
      <c r="I78" s="4">
        <f t="shared" si="19"/>
        <v>0</v>
      </c>
      <c r="J78" s="4">
        <f t="shared" si="19"/>
        <v>0</v>
      </c>
      <c r="K78" s="4">
        <f t="shared" si="19"/>
        <v>0</v>
      </c>
      <c r="L78" s="4">
        <f t="shared" si="19"/>
        <v>0</v>
      </c>
      <c r="M78" s="4">
        <f t="shared" si="19"/>
        <v>0</v>
      </c>
      <c r="N78" s="4">
        <f t="shared" si="19"/>
        <v>0</v>
      </c>
      <c r="O78" s="4">
        <f t="shared" si="19"/>
        <v>0</v>
      </c>
      <c r="P78" s="4">
        <f t="shared" si="19"/>
        <v>0</v>
      </c>
      <c r="Q78" s="4">
        <f t="shared" si="19"/>
        <v>0</v>
      </c>
      <c r="R78" s="4">
        <f t="shared" si="19"/>
        <v>0</v>
      </c>
      <c r="S78" s="4">
        <f>SUM(S73:S77)</f>
        <v>0</v>
      </c>
      <c r="T78" s="4">
        <f t="shared" si="19"/>
        <v>0</v>
      </c>
      <c r="U78" s="4">
        <f t="shared" si="19"/>
        <v>0</v>
      </c>
      <c r="V78" s="4">
        <f t="shared" si="19"/>
        <v>0</v>
      </c>
      <c r="W78" s="4">
        <f t="shared" si="19"/>
        <v>0</v>
      </c>
    </row>
    <row r="79" spans="1:23" s="90" customFormat="1" ht="12.75" customHeight="1">
      <c r="A79" s="90">
        <v>2022</v>
      </c>
      <c r="B79" s="252" t="s">
        <v>308</v>
      </c>
      <c r="C79" s="252"/>
      <c r="D79" s="71">
        <f t="shared" si="11"/>
        <v>205674302</v>
      </c>
      <c r="E79" s="71">
        <f>+E78+E72+E65</f>
        <v>142712312</v>
      </c>
      <c r="F79" s="71">
        <f>+F78+F72+F65</f>
        <v>293942</v>
      </c>
      <c r="G79" s="71">
        <f t="shared" ref="G79:W79" si="20">+G78+G72+G65</f>
        <v>12457000</v>
      </c>
      <c r="H79" s="71">
        <f t="shared" si="20"/>
        <v>0</v>
      </c>
      <c r="I79" s="71">
        <f t="shared" si="20"/>
        <v>15000000</v>
      </c>
      <c r="J79" s="71">
        <f t="shared" si="20"/>
        <v>2902942</v>
      </c>
      <c r="K79" s="71">
        <f t="shared" si="20"/>
        <v>30317418</v>
      </c>
      <c r="L79" s="71">
        <f t="shared" si="20"/>
        <v>0</v>
      </c>
      <c r="M79" s="71">
        <f t="shared" si="20"/>
        <v>0</v>
      </c>
      <c r="N79" s="71">
        <f t="shared" si="20"/>
        <v>1142711</v>
      </c>
      <c r="O79" s="71">
        <f t="shared" si="20"/>
        <v>0</v>
      </c>
      <c r="P79" s="71">
        <f t="shared" si="20"/>
        <v>0</v>
      </c>
      <c r="Q79" s="71">
        <f t="shared" si="20"/>
        <v>0</v>
      </c>
      <c r="R79" s="71">
        <f t="shared" si="20"/>
        <v>0</v>
      </c>
      <c r="S79" s="71">
        <f>+S78+S72+S65</f>
        <v>0</v>
      </c>
      <c r="T79" s="71">
        <f t="shared" si="20"/>
        <v>817977</v>
      </c>
      <c r="U79" s="71">
        <f t="shared" si="20"/>
        <v>0</v>
      </c>
      <c r="V79" s="71">
        <f t="shared" si="20"/>
        <v>30000</v>
      </c>
      <c r="W79" s="71">
        <f t="shared" si="20"/>
        <v>0</v>
      </c>
    </row>
    <row r="80" spans="1:23">
      <c r="B80" s="62"/>
      <c r="C80" s="62"/>
      <c r="D80" s="62"/>
      <c r="E80" s="62"/>
      <c r="F80" s="62"/>
      <c r="G80" s="62"/>
      <c r="H80" s="62"/>
      <c r="I80" s="103"/>
      <c r="J80" s="104"/>
      <c r="K80" s="104"/>
      <c r="L80" s="104"/>
      <c r="M80" s="104"/>
      <c r="N80" s="104"/>
      <c r="O80" s="104"/>
      <c r="P80" s="104"/>
      <c r="Q80" s="104"/>
      <c r="R80" s="104"/>
      <c r="S80" s="91"/>
      <c r="W80" s="91"/>
    </row>
    <row r="81" spans="1:29" s="90" customFormat="1" ht="15.75">
      <c r="B81" s="275" t="s">
        <v>262</v>
      </c>
      <c r="C81" s="276"/>
      <c r="D81" s="277" t="s">
        <v>3487</v>
      </c>
      <c r="E81" s="278"/>
      <c r="F81" s="278"/>
      <c r="G81" s="278"/>
      <c r="H81" s="278"/>
      <c r="I81" s="278"/>
      <c r="J81" s="278"/>
      <c r="K81" s="278"/>
      <c r="L81" s="278"/>
      <c r="M81" s="278"/>
      <c r="N81" s="278"/>
      <c r="O81" s="278"/>
      <c r="P81" s="278"/>
      <c r="Q81" s="278"/>
      <c r="R81" s="278"/>
      <c r="S81" s="278"/>
      <c r="T81" s="278"/>
      <c r="U81" s="279"/>
      <c r="V81" s="204"/>
      <c r="W81" s="204"/>
    </row>
    <row r="82" spans="1:29" s="90" customFormat="1" ht="89.25">
      <c r="A82" s="92" t="s">
        <v>1906</v>
      </c>
      <c r="B82" s="92" t="s">
        <v>263</v>
      </c>
      <c r="C82" s="92" t="s">
        <v>264</v>
      </c>
      <c r="D82" s="252" t="s">
        <v>265</v>
      </c>
      <c r="E82" s="237" t="s">
        <v>345</v>
      </c>
      <c r="F82" s="237" t="s">
        <v>317</v>
      </c>
      <c r="G82" s="238" t="s">
        <v>19</v>
      </c>
      <c r="H82" s="238" t="s">
        <v>1367</v>
      </c>
      <c r="I82" s="238" t="s">
        <v>20</v>
      </c>
      <c r="J82" s="238" t="s">
        <v>266</v>
      </c>
      <c r="K82" s="238" t="s">
        <v>267</v>
      </c>
      <c r="L82" s="238" t="s">
        <v>1368</v>
      </c>
      <c r="M82" s="238" t="s">
        <v>268</v>
      </c>
      <c r="N82" s="238" t="s">
        <v>269</v>
      </c>
      <c r="O82" s="238" t="s">
        <v>270</v>
      </c>
      <c r="P82" s="238" t="s">
        <v>1369</v>
      </c>
      <c r="Q82" s="238" t="s">
        <v>1370</v>
      </c>
      <c r="R82" s="238" t="s">
        <v>1902</v>
      </c>
      <c r="S82" s="93" t="s">
        <v>3479</v>
      </c>
      <c r="T82" s="93" t="s">
        <v>271</v>
      </c>
      <c r="U82" s="93" t="s">
        <v>272</v>
      </c>
      <c r="V82" s="93" t="s">
        <v>309</v>
      </c>
      <c r="W82" s="93" t="s">
        <v>1343</v>
      </c>
    </row>
    <row r="83" spans="1:29" s="90" customFormat="1">
      <c r="A83" s="90">
        <v>2023</v>
      </c>
      <c r="B83" s="95"/>
      <c r="C83" s="96" t="s">
        <v>11</v>
      </c>
      <c r="D83" s="70">
        <f t="shared" ref="D83:D119" si="21">SUM(E83:W83)</f>
        <v>9686515</v>
      </c>
      <c r="E83" s="185">
        <f>+E43-E5</f>
        <v>0</v>
      </c>
      <c r="F83" s="185">
        <f t="shared" ref="F83:W83" si="22">+F43-F5</f>
        <v>0</v>
      </c>
      <c r="G83" s="185">
        <f t="shared" si="22"/>
        <v>-3891244</v>
      </c>
      <c r="H83" s="185">
        <f t="shared" si="22"/>
        <v>0</v>
      </c>
      <c r="I83" s="185">
        <f t="shared" si="22"/>
        <v>6489003</v>
      </c>
      <c r="J83" s="185">
        <f t="shared" si="22"/>
        <v>3455198</v>
      </c>
      <c r="K83" s="185">
        <f>+K43-K5</f>
        <v>2546359</v>
      </c>
      <c r="L83" s="185">
        <f t="shared" si="22"/>
        <v>0</v>
      </c>
      <c r="M83" s="185">
        <f t="shared" si="22"/>
        <v>0</v>
      </c>
      <c r="N83" s="185">
        <f t="shared" si="22"/>
        <v>0</v>
      </c>
      <c r="O83" s="185">
        <f t="shared" si="22"/>
        <v>0</v>
      </c>
      <c r="P83" s="185">
        <f t="shared" si="22"/>
        <v>0</v>
      </c>
      <c r="Q83" s="185">
        <f t="shared" si="22"/>
        <v>0</v>
      </c>
      <c r="R83" s="185">
        <f t="shared" si="22"/>
        <v>0</v>
      </c>
      <c r="S83" s="185">
        <f t="shared" si="22"/>
        <v>0</v>
      </c>
      <c r="T83" s="185">
        <f t="shared" si="22"/>
        <v>858385</v>
      </c>
      <c r="U83" s="185">
        <f t="shared" si="22"/>
        <v>0</v>
      </c>
      <c r="V83" s="185">
        <f t="shared" si="22"/>
        <v>228814</v>
      </c>
      <c r="W83" s="185">
        <f t="shared" si="22"/>
        <v>0</v>
      </c>
      <c r="X83" s="260"/>
      <c r="Y83" s="94"/>
      <c r="Z83" s="94"/>
      <c r="AA83" s="94"/>
      <c r="AB83" s="94"/>
      <c r="AC83" s="94"/>
    </row>
    <row r="84" spans="1:29" s="90" customFormat="1">
      <c r="A84" s="90">
        <v>2023</v>
      </c>
      <c r="B84" s="114"/>
      <c r="C84" s="115" t="s">
        <v>341</v>
      </c>
      <c r="D84" s="70">
        <f t="shared" si="21"/>
        <v>36984109.384424858</v>
      </c>
      <c r="E84" s="14">
        <f t="shared" ref="E84:W84" si="23">+E105+E112</f>
        <v>7567779.3844248569</v>
      </c>
      <c r="F84" s="14">
        <f t="shared" si="23"/>
        <v>245277</v>
      </c>
      <c r="G84" s="14">
        <f t="shared" si="23"/>
        <v>3857000</v>
      </c>
      <c r="H84" s="14">
        <f>+H105+H112</f>
        <v>0</v>
      </c>
      <c r="I84" s="14">
        <f t="shared" si="23"/>
        <v>0</v>
      </c>
      <c r="J84" s="14">
        <f t="shared" si="23"/>
        <v>1229689</v>
      </c>
      <c r="K84" s="14">
        <f t="shared" si="23"/>
        <v>22730516</v>
      </c>
      <c r="L84" s="14">
        <f>+L105+L112</f>
        <v>0</v>
      </c>
      <c r="M84" s="14">
        <f t="shared" si="23"/>
        <v>0</v>
      </c>
      <c r="N84" s="14">
        <f t="shared" si="23"/>
        <v>866941</v>
      </c>
      <c r="O84" s="14">
        <f t="shared" si="23"/>
        <v>-196000</v>
      </c>
      <c r="P84" s="14">
        <f>+P105+P112</f>
        <v>0</v>
      </c>
      <c r="Q84" s="14">
        <f>+Q105+Q112</f>
        <v>0</v>
      </c>
      <c r="R84" s="14">
        <f>+R105+R112</f>
        <v>0</v>
      </c>
      <c r="S84" s="14">
        <f>+S105+S112</f>
        <v>0</v>
      </c>
      <c r="T84" s="14">
        <f t="shared" si="23"/>
        <v>692907</v>
      </c>
      <c r="U84" s="14">
        <f t="shared" si="23"/>
        <v>0</v>
      </c>
      <c r="V84" s="14">
        <f t="shared" si="23"/>
        <v>-10000</v>
      </c>
      <c r="W84" s="14">
        <f t="shared" si="23"/>
        <v>0</v>
      </c>
    </row>
    <row r="85" spans="1:29" s="90" customFormat="1">
      <c r="A85" s="90">
        <v>2023</v>
      </c>
      <c r="B85" s="95"/>
      <c r="C85" s="96" t="s">
        <v>344</v>
      </c>
      <c r="D85" s="70">
        <f t="shared" si="21"/>
        <v>-13030381</v>
      </c>
      <c r="E85" s="113">
        <f>+E45-E7</f>
        <v>0</v>
      </c>
      <c r="F85" s="113">
        <f t="shared" ref="F85:W85" si="24">+F45-F7</f>
        <v>-127719</v>
      </c>
      <c r="G85" s="113">
        <f t="shared" si="24"/>
        <v>1279271</v>
      </c>
      <c r="H85" s="113">
        <f t="shared" si="24"/>
        <v>0</v>
      </c>
      <c r="I85" s="113">
        <f t="shared" si="24"/>
        <v>-1685083</v>
      </c>
      <c r="J85" s="113">
        <v>-4207373</v>
      </c>
      <c r="K85" s="113">
        <f>+K45-K7</f>
        <v>-6593037</v>
      </c>
      <c r="L85" s="113">
        <f t="shared" si="24"/>
        <v>0</v>
      </c>
      <c r="M85" s="113">
        <f t="shared" si="24"/>
        <v>0</v>
      </c>
      <c r="N85" s="113">
        <f t="shared" si="24"/>
        <v>-686707</v>
      </c>
      <c r="O85" s="113">
        <f t="shared" si="24"/>
        <v>0</v>
      </c>
      <c r="P85" s="113">
        <f t="shared" si="24"/>
        <v>0</v>
      </c>
      <c r="Q85" s="113">
        <f t="shared" si="24"/>
        <v>0</v>
      </c>
      <c r="R85" s="113">
        <f t="shared" si="24"/>
        <v>0</v>
      </c>
      <c r="S85" s="113">
        <f t="shared" si="24"/>
        <v>0</v>
      </c>
      <c r="T85" s="113">
        <f t="shared" si="24"/>
        <v>-790919</v>
      </c>
      <c r="U85" s="113">
        <f t="shared" si="24"/>
        <v>0</v>
      </c>
      <c r="V85" s="113">
        <f t="shared" si="24"/>
        <v>-218814</v>
      </c>
      <c r="W85" s="113">
        <f t="shared" si="24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273</v>
      </c>
      <c r="D86" s="70">
        <f t="shared" si="21"/>
        <v>33640243.384424858</v>
      </c>
      <c r="E86" s="14">
        <f>+E83+E84+E85</f>
        <v>7567779.3844248569</v>
      </c>
      <c r="F86" s="14">
        <f t="shared" ref="F86:W86" si="25">+F83+F84+F85</f>
        <v>117558</v>
      </c>
      <c r="G86" s="14">
        <f t="shared" si="25"/>
        <v>1245027</v>
      </c>
      <c r="H86" s="14">
        <f>+H83+H84+H85</f>
        <v>0</v>
      </c>
      <c r="I86" s="14">
        <f t="shared" si="25"/>
        <v>4803920</v>
      </c>
      <c r="J86" s="14">
        <f t="shared" si="25"/>
        <v>477514</v>
      </c>
      <c r="K86" s="14">
        <f t="shared" si="25"/>
        <v>18683838</v>
      </c>
      <c r="L86" s="14">
        <f>+L83+L84+L85</f>
        <v>0</v>
      </c>
      <c r="M86" s="14">
        <f t="shared" si="25"/>
        <v>0</v>
      </c>
      <c r="N86" s="14">
        <f t="shared" si="25"/>
        <v>180234</v>
      </c>
      <c r="O86" s="14">
        <f t="shared" si="25"/>
        <v>-196000</v>
      </c>
      <c r="P86" s="14">
        <f>+P83+P84+P85</f>
        <v>0</v>
      </c>
      <c r="Q86" s="14">
        <f>+Q83+Q84+Q85</f>
        <v>0</v>
      </c>
      <c r="R86" s="14">
        <f>+R83+R84+R85</f>
        <v>0</v>
      </c>
      <c r="S86" s="14">
        <f>+S83+S84+S85</f>
        <v>0</v>
      </c>
      <c r="T86" s="14">
        <f t="shared" si="25"/>
        <v>760373</v>
      </c>
      <c r="U86" s="14">
        <f t="shared" si="25"/>
        <v>0</v>
      </c>
      <c r="V86" s="14">
        <f t="shared" si="25"/>
        <v>0</v>
      </c>
      <c r="W86" s="14">
        <f t="shared" si="25"/>
        <v>0</v>
      </c>
    </row>
    <row r="87" spans="1:29" s="90" customFormat="1">
      <c r="A87" s="90">
        <v>2023</v>
      </c>
      <c r="B87" s="111"/>
      <c r="C87" s="112" t="s">
        <v>229</v>
      </c>
      <c r="D87" s="70">
        <f t="shared" si="21"/>
        <v>33640243.656101115</v>
      </c>
      <c r="E87" s="134">
        <f>+'PLAN RASHODA I IZDATAKA'!E91</f>
        <v>7567779.8544248566</v>
      </c>
      <c r="F87" s="134">
        <f>+'PLAN RASHODA I IZDATAKA'!F91</f>
        <v>117558.03</v>
      </c>
      <c r="G87" s="134">
        <f>+'PLAN RASHODA I IZDATAKA'!G91</f>
        <v>1245027</v>
      </c>
      <c r="H87" s="134">
        <f>+'PLAN RASHODA I IZDATAKA'!H91</f>
        <v>0</v>
      </c>
      <c r="I87" s="134">
        <f>+'PLAN RASHODA I IZDATAKA'!I91</f>
        <v>4803920.0300000012</v>
      </c>
      <c r="J87" s="134">
        <f>+'PLAN RASHODA I IZDATAKA'!J91</f>
        <v>477514.34757325618</v>
      </c>
      <c r="K87" s="134">
        <f>+'PLAN RASHODA I IZDATAKA'!K91</f>
        <v>18683837.254103001</v>
      </c>
      <c r="L87" s="134">
        <f>+'PLAN RASHODA I IZDATAKA'!L91</f>
        <v>0</v>
      </c>
      <c r="M87" s="134">
        <f>+'PLAN RASHODA I IZDATAKA'!M91</f>
        <v>0</v>
      </c>
      <c r="N87" s="134">
        <f>+'PLAN RASHODA I IZDATAKA'!N91</f>
        <v>180234.35</v>
      </c>
      <c r="O87" s="134">
        <f>+'PLAN RASHODA I IZDATAKA'!O91</f>
        <v>-196000</v>
      </c>
      <c r="P87" s="134">
        <f>+'PLAN RASHODA I IZDATAKA'!P91</f>
        <v>0</v>
      </c>
      <c r="Q87" s="134">
        <f>+'PLAN RASHODA I IZDATAKA'!Q91</f>
        <v>0</v>
      </c>
      <c r="R87" s="134">
        <f>+'PLAN RASHODA I IZDATAKA'!R91</f>
        <v>0</v>
      </c>
      <c r="S87" s="134">
        <f>+'PLAN RASHODA I IZDATAKA'!S91</f>
        <v>0</v>
      </c>
      <c r="T87" s="134">
        <f>+'PLAN RASHODA I IZDATAKA'!T91</f>
        <v>760372.78999999992</v>
      </c>
      <c r="U87" s="134">
        <f>+'PLAN RASHODA I IZDATAKA'!U91</f>
        <v>0</v>
      </c>
      <c r="V87" s="134">
        <f>+'PLAN RASHODA I IZDATAKA'!V91</f>
        <v>0</v>
      </c>
      <c r="W87" s="134">
        <f>+'PLAN RASHODA I IZDATAKA'!W91</f>
        <v>0</v>
      </c>
      <c r="X87" s="94"/>
      <c r="Y87" s="94"/>
      <c r="Z87" s="94"/>
      <c r="AA87" s="94"/>
      <c r="AB87" s="94"/>
      <c r="AC87" s="94"/>
    </row>
    <row r="88" spans="1:29" s="90" customFormat="1" ht="13.5" thickBot="1">
      <c r="A88" s="90">
        <v>2023</v>
      </c>
      <c r="B88" s="116"/>
      <c r="C88" s="117" t="s">
        <v>343</v>
      </c>
      <c r="D88" s="69">
        <f t="shared" si="21"/>
        <v>-0.27167625824222341</v>
      </c>
      <c r="E88" s="118">
        <f>+E86-E87</f>
        <v>-0.46999999973922968</v>
      </c>
      <c r="F88" s="118">
        <f t="shared" ref="F88:W88" si="26">+F86-F87</f>
        <v>-2.9999999998835847E-2</v>
      </c>
      <c r="G88" s="118">
        <f t="shared" si="26"/>
        <v>0</v>
      </c>
      <c r="H88" s="118">
        <f>+H86-H87</f>
        <v>0</v>
      </c>
      <c r="I88" s="118">
        <f t="shared" si="26"/>
        <v>-3.0000001192092896E-2</v>
      </c>
      <c r="J88" s="118">
        <f>+J86-J87</f>
        <v>-0.34757325617829338</v>
      </c>
      <c r="K88" s="118">
        <f t="shared" si="26"/>
        <v>0.74589699879288673</v>
      </c>
      <c r="L88" s="118">
        <f>+L86-L87</f>
        <v>0</v>
      </c>
      <c r="M88" s="118">
        <f t="shared" si="26"/>
        <v>0</v>
      </c>
      <c r="N88" s="118">
        <f t="shared" si="26"/>
        <v>-0.35000000000582077</v>
      </c>
      <c r="O88" s="118">
        <f t="shared" si="26"/>
        <v>0</v>
      </c>
      <c r="P88" s="118">
        <f>+P86-P87</f>
        <v>0</v>
      </c>
      <c r="Q88" s="118">
        <f>+Q86-Q87</f>
        <v>0</v>
      </c>
      <c r="R88" s="118">
        <f>+R86-R87</f>
        <v>0</v>
      </c>
      <c r="S88" s="118">
        <f>+S86-S87</f>
        <v>0</v>
      </c>
      <c r="T88" s="118">
        <f t="shared" si="26"/>
        <v>0.21000000007916242</v>
      </c>
      <c r="U88" s="118">
        <f t="shared" si="26"/>
        <v>0</v>
      </c>
      <c r="V88" s="118">
        <f t="shared" si="26"/>
        <v>0</v>
      </c>
      <c r="W88" s="118">
        <f t="shared" si="26"/>
        <v>0</v>
      </c>
    </row>
    <row r="89" spans="1:29" s="90" customFormat="1">
      <c r="A89" s="90">
        <v>2023</v>
      </c>
      <c r="B89" s="97" t="s">
        <v>1372</v>
      </c>
      <c r="C89" s="110" t="s">
        <v>1373</v>
      </c>
      <c r="D89" s="70">
        <f t="shared" si="21"/>
        <v>0</v>
      </c>
      <c r="E89" s="186">
        <f>SUMIFS('Plan prihoda za unos u SAP'!$I$3:$I$500,'Plan prihoda za unos u SAP'!$C$3:$C$500,"=11",'Plan prihoda za unos u SAP'!$K$3:$K$500,"=614")</f>
        <v>0</v>
      </c>
      <c r="F89" s="186">
        <f>SUMIFS('Plan prihoda za unos u SAP'!$I$3:$I$500,'Plan prihoda za unos u SAP'!$C$3:$C$500,"=12",'Plan prihoda za unos u SAP'!$K$3:$K$500,"=614")</f>
        <v>0</v>
      </c>
      <c r="G89" s="186">
        <f>SUMIFS('Plan prihoda za unos u SAP'!$I$3:$I$500,'Plan prihoda za unos u SAP'!$C$3:$C$500,"=31",'Plan prihoda za unos u SAP'!$K$3:$K$500,"=614")</f>
        <v>0</v>
      </c>
      <c r="H89" s="186">
        <f>SUMIFS('Plan prihoda za unos u SAP'!$I$3:$I$500,'Plan prihoda za unos u SAP'!$C$3:$C$500,"=41",'Plan prihoda za unos u SAP'!$K$3:$K$500,"=614")</f>
        <v>0</v>
      </c>
      <c r="I89" s="186">
        <f>SUMIFS('Plan prihoda za unos u SAP'!$I$3:$I$500,'Plan prihoda za unos u SAP'!$C$3:$C$500,"=43",'Plan prihoda za unos u SAP'!$K$3:$K$500,"=614")</f>
        <v>0</v>
      </c>
      <c r="J89" s="186">
        <f>SUMIFS('Plan prihoda za unos u SAP'!$I$3:$I$500,'Plan prihoda za unos u SAP'!$C$3:$C$500,"=51",'Plan prihoda za unos u SAP'!$K$3:$K$500,"=614")</f>
        <v>0</v>
      </c>
      <c r="K89" s="186">
        <f>SUMIFS('Plan prihoda za unos u SAP'!$I$3:$I$500,'Plan prihoda za unos u SAP'!$C$3:$C$500,"=52",'Plan prihoda za unos u SAP'!$K$3:$K$500,"=614")</f>
        <v>0</v>
      </c>
      <c r="L89" s="186">
        <f>SUMIFS('Plan prihoda za unos u SAP'!$I$3:$I$500,'Plan prihoda za unos u SAP'!$C$3:$C$500,"=552",'Plan prihoda za unos u SAP'!$K$3:$K$500,"=614")</f>
        <v>0</v>
      </c>
      <c r="M89" s="186">
        <f>SUMIFS('Plan prihoda za unos u SAP'!$I$3:$I$500,'Plan prihoda za unos u SAP'!$C$3:$C$500,"=559",'Plan prihoda za unos u SAP'!$K$3:$K$500,"=614")</f>
        <v>0</v>
      </c>
      <c r="N89" s="186">
        <f>SUMIFS('Plan prihoda za unos u SAP'!$I$3:$I$500,'Plan prihoda za unos u SAP'!$C$3:$C$500,"=561",'Plan prihoda za unos u SAP'!$K$3:$K$500,"=614")</f>
        <v>0</v>
      </c>
      <c r="O89" s="186">
        <f>SUMIFS('Plan prihoda za unos u SAP'!$I$3:$I$500,'Plan prihoda za unos u SAP'!$C$3:$C$500,"=563",'Plan prihoda za unos u SAP'!$K$3:$K$500,"=614")</f>
        <v>0</v>
      </c>
      <c r="P89" s="186">
        <f>SUMIFS('Plan prihoda za unos u SAP'!$I$3:$I$500,'Plan prihoda za unos u SAP'!$C$3:$C$500,"=573",'Plan prihoda za unos u SAP'!$K$3:$K$500,"=614")</f>
        <v>0</v>
      </c>
      <c r="Q89" s="186">
        <f>SUMIFS('Plan prihoda za unos u SAP'!$I$3:$I$500,'Plan prihoda za unos u SAP'!$C$3:$C$500,"=575",'Plan prihoda za unos u SAP'!$K$3:$K$500,"=614")</f>
        <v>0</v>
      </c>
      <c r="R89" s="186">
        <f>SUMIFS('Plan prihoda za unos u SAP'!$I$3:$I$500,'Plan prihoda za unos u SAP'!$C$3:$C$500,"=576",'Plan prihoda za unos u SAP'!$K$3:$K$500,"=614")</f>
        <v>0</v>
      </c>
      <c r="S89" s="186">
        <f>SUMIFS('Plan prihoda za unos u SAP'!$I$3:$I$500,'Plan prihoda za unos u SAP'!$C$3:$C$500,"=581",'Plan prihoda za unos u SAP'!$K$3:$K$500,"=614")</f>
        <v>0</v>
      </c>
      <c r="T89" s="186">
        <f>SUMIFS('Plan prihoda za unos u SAP'!$I$3:$I$500,'Plan prihoda za unos u SAP'!$C$3:$C$500,"=61",'Plan prihoda za unos u SAP'!$K$3:$K$500,"=614")</f>
        <v>0</v>
      </c>
      <c r="U89" s="186">
        <f>SUMIFS('Plan prihoda za unos u SAP'!$I$3:$I$500,'Plan prihoda za unos u SAP'!$C$3:$C$500,"=63",'Plan prihoda za unos u SAP'!$K$3:$K$500,"=614")</f>
        <v>0</v>
      </c>
      <c r="V89" s="186">
        <f>SUMIFS('Plan prihoda za unos u SAP'!$I$3:$I$500,'Plan prihoda za unos u SAP'!$C$3:$C$500,"=71",'Plan prihoda za unos u SAP'!$K$3:$K$500,"=614")</f>
        <v>0</v>
      </c>
      <c r="W89" s="186">
        <f>SUMIFS('Plan prihoda za unos u SAP'!$I$3:$I$500,'Plan prihoda za unos u SAP'!$C$3:$C$500,"=81",'Plan prihoda za unos u SAP'!$K$3:$K$500,"=614")</f>
        <v>0</v>
      </c>
    </row>
    <row r="90" spans="1:29" s="90" customFormat="1">
      <c r="A90" s="90">
        <v>2023</v>
      </c>
      <c r="B90" s="97" t="s">
        <v>274</v>
      </c>
      <c r="C90" s="96" t="s">
        <v>275</v>
      </c>
      <c r="D90" s="70">
        <f t="shared" si="21"/>
        <v>121657</v>
      </c>
      <c r="E90" s="186">
        <f>SUMIFS('Plan prihoda za unos u SAP'!$I$3:$I$500,'Plan prihoda za unos u SAP'!$C$3:$C$500,"=11",'Plan prihoda za unos u SAP'!$K$3:$K$500,"=631")</f>
        <v>0</v>
      </c>
      <c r="F90" s="186">
        <f>SUMIFS('Plan prihoda za unos u SAP'!$I$3:$I$500,'Plan prihoda za unos u SAP'!$C$3:$C$500,"=12",'Plan prihoda za unos u SAP'!$K$3:$K$500,"=631")</f>
        <v>0</v>
      </c>
      <c r="G90" s="186">
        <f>SUMIFS('Plan prihoda za unos u SAP'!$I$3:$I$500,'Plan prihoda za unos u SAP'!$C$3:$C$500,"=31",'Plan prihoda za unos u SAP'!$K$3:$K$500,"=631")</f>
        <v>0</v>
      </c>
      <c r="H90" s="186">
        <f>SUMIFS('Plan prihoda za unos u SAP'!$I$3:$I$500,'Plan prihoda za unos u SAP'!$C$3:$C$500,"=41",'Plan prihoda za unos u SAP'!$K$3:$K$500,"=631")</f>
        <v>0</v>
      </c>
      <c r="I90" s="186">
        <f>SUMIFS('Plan prihoda za unos u SAP'!$I$3:$I$500,'Plan prihoda za unos u SAP'!$C$3:$C$500,"=43",'Plan prihoda za unos u SAP'!$K$3:$K$500,"=631")</f>
        <v>0</v>
      </c>
      <c r="J90" s="186">
        <f>SUMIFS('Plan prihoda za unos u SAP'!$I$3:$I$500,'Plan prihoda za unos u SAP'!$C$3:$C$500,"=51",'Plan prihoda za unos u SAP'!$K$3:$K$500,"=631")</f>
        <v>0</v>
      </c>
      <c r="K90" s="186">
        <f>SUMIFS('Plan prihoda za unos u SAP'!$I$3:$I$500,'Plan prihoda za unos u SAP'!$C$3:$C$500,"=52",'Plan prihoda za unos u SAP'!$K$3:$K$500,"=631")</f>
        <v>121657</v>
      </c>
      <c r="L90" s="186">
        <f>SUMIFS('Plan prihoda za unos u SAP'!$I$3:$I$500,'Plan prihoda za unos u SAP'!$C$3:$C$500,"=552",'Plan prihoda za unos u SAP'!$K$3:$K$500,"=631")</f>
        <v>0</v>
      </c>
      <c r="M90" s="186">
        <f>SUMIFS('Plan prihoda za unos u SAP'!$I$3:$I$500,'Plan prihoda za unos u SAP'!$C$3:$C$500,"=559",'Plan prihoda za unos u SAP'!$K$3:$K$500,"=631")</f>
        <v>0</v>
      </c>
      <c r="N90" s="186">
        <f>SUMIFS('Plan prihoda za unos u SAP'!$I$3:$I$500,'Plan prihoda za unos u SAP'!$C$3:$C$500,"=561",'Plan prihoda za unos u SAP'!$K$3:$K$500,"=631")</f>
        <v>0</v>
      </c>
      <c r="O90" s="186">
        <f>SUMIFS('Plan prihoda za unos u SAP'!$I$3:$I$500,'Plan prihoda za unos u SAP'!$C$3:$C$500,"=563",'Plan prihoda za unos u SAP'!$K$3:$K$500,"=631")</f>
        <v>0</v>
      </c>
      <c r="P90" s="186">
        <f>SUMIFS('Plan prihoda za unos u SAP'!$I$3:$I$500,'Plan prihoda za unos u SAP'!$C$3:$C$500,"=573",'Plan prihoda za unos u SAP'!$K$3:$K$500,"=631")</f>
        <v>0</v>
      </c>
      <c r="Q90" s="186">
        <f>SUMIFS('Plan prihoda za unos u SAP'!$I$3:$I$500,'Plan prihoda za unos u SAP'!$C$3:$C$500,"=575",'Plan prihoda za unos u SAP'!$K$3:$K$500,"=631")</f>
        <v>0</v>
      </c>
      <c r="R90" s="186">
        <f>SUMIFS('Plan prihoda za unos u SAP'!$I$3:$I$500,'Plan prihoda za unos u SAP'!$C$3:$C$500,"=576",'Plan prihoda za unos u SAP'!$K$3:$K$500,"=631")</f>
        <v>0</v>
      </c>
      <c r="S90" s="186">
        <f>SUMIFS('Plan prihoda za unos u SAP'!$I$3:$I$500,'Plan prihoda za unos u SAP'!$C$3:$C$500,"=581",'Plan prihoda za unos u SAP'!$K$3:$K$500,"=631")</f>
        <v>0</v>
      </c>
      <c r="T90" s="186">
        <f>SUMIFS('Plan prihoda za unos u SAP'!$I$3:$I$500,'Plan prihoda za unos u SAP'!$C$3:$C$500,"=61",'Plan prihoda za unos u SAP'!$K$3:$K$500,"=631")</f>
        <v>0</v>
      </c>
      <c r="U90" s="186">
        <f>SUMIFS('Plan prihoda za unos u SAP'!$I$3:$I$500,'Plan prihoda za unos u SAP'!$C$3:$C$500,"=63",'Plan prihoda za unos u SAP'!$K$3:$K$500,"=631")</f>
        <v>0</v>
      </c>
      <c r="V90" s="186">
        <f>SUMIFS('Plan prihoda za unos u SAP'!$I$3:$I$500,'Plan prihoda za unos u SAP'!$C$3:$C$500,"=71",'Plan prihoda za unos u SAP'!$K$3:$K$500,"=631")</f>
        <v>0</v>
      </c>
      <c r="W90" s="186">
        <f>SUMIFS('Plan prihoda za unos u SAP'!$I$3:$I$500,'Plan prihoda za unos u SAP'!$C$3:$C$500,"=81",'Plan prihoda za unos u SAP'!$K$3:$K$500,"=631")</f>
        <v>0</v>
      </c>
    </row>
    <row r="91" spans="1:29" s="90" customFormat="1">
      <c r="A91" s="90">
        <v>2023</v>
      </c>
      <c r="B91" s="95" t="s">
        <v>276</v>
      </c>
      <c r="C91" s="96" t="s">
        <v>277</v>
      </c>
      <c r="D91" s="70">
        <f t="shared" si="21"/>
        <v>1900630</v>
      </c>
      <c r="E91" s="186">
        <f>SUMIFS('Plan prihoda za unos u SAP'!$I$3:$I$500,'Plan prihoda za unos u SAP'!$C$3:$C$500,"=11",'Plan prihoda za unos u SAP'!$K$3:$K$500,"=632")</f>
        <v>0</v>
      </c>
      <c r="F91" s="186">
        <f>SUMIFS('Plan prihoda za unos u SAP'!$I$3:$I$500,'Plan prihoda za unos u SAP'!$C$3:$C$500,"=12",'Plan prihoda za unos u SAP'!$K$3:$K$500,"=632")</f>
        <v>0</v>
      </c>
      <c r="G91" s="186">
        <f>SUMIFS('Plan prihoda za unos u SAP'!$I$3:$I$500,'Plan prihoda za unos u SAP'!$C$3:$C$500,"=31",'Plan prihoda za unos u SAP'!$K$3:$K$500,"=632")</f>
        <v>0</v>
      </c>
      <c r="H91" s="186">
        <f>SUMIFS('Plan prihoda za unos u SAP'!$I$3:$I$500,'Plan prihoda za unos u SAP'!$C$3:$C$500,"=41",'Plan prihoda za unos u SAP'!$K$3:$K$500,"=632")</f>
        <v>0</v>
      </c>
      <c r="I91" s="186">
        <f>SUMIFS('Plan prihoda za unos u SAP'!$I$3:$I$500,'Plan prihoda za unos u SAP'!$C$3:$C$500,"=43",'Plan prihoda za unos u SAP'!$K$3:$K$500,"=632")</f>
        <v>0</v>
      </c>
      <c r="J91" s="186">
        <f>SUMIFS('Plan prihoda za unos u SAP'!$I$3:$I$500,'Plan prihoda za unos u SAP'!$C$3:$C$500,"=51",'Plan prihoda za unos u SAP'!$K$3:$K$500,"=632")</f>
        <v>1229689</v>
      </c>
      <c r="K91" s="186">
        <f>SUMIFS('Plan prihoda za unos u SAP'!$I$3:$I$500,'Plan prihoda za unos u SAP'!$C$3:$C$500,"=52",'Plan prihoda za unos u SAP'!$K$3:$K$500,"=632")</f>
        <v>0</v>
      </c>
      <c r="L91" s="186">
        <f>SUMIFS('Plan prihoda za unos u SAP'!$I$3:$I$500,'Plan prihoda za unos u SAP'!$C$3:$C$500,"=552",'Plan prihoda za unos u SAP'!$K$3:$K$500,"=632")</f>
        <v>0</v>
      </c>
      <c r="M91" s="186">
        <f>SUMIFS('Plan prihoda za unos u SAP'!$I$3:$I$500,'Plan prihoda za unos u SAP'!$C$3:$C$500,"=559",'Plan prihoda za unos u SAP'!$K$3:$K$500,"=632")</f>
        <v>0</v>
      </c>
      <c r="N91" s="186">
        <f>SUMIFS('Plan prihoda za unos u SAP'!$I$3:$I$500,'Plan prihoda za unos u SAP'!$C$3:$C$500,"=561",'Plan prihoda za unos u SAP'!$K$3:$K$500,"=632")</f>
        <v>866941</v>
      </c>
      <c r="O91" s="186">
        <f>SUMIFS('Plan prihoda za unos u SAP'!$I$3:$I$500,'Plan prihoda za unos u SAP'!$C$3:$C$500,"=563",'Plan prihoda za unos u SAP'!$K$3:$K$500,"=632")</f>
        <v>-196000</v>
      </c>
      <c r="P91" s="186">
        <f>SUMIFS('Plan prihoda za unos u SAP'!$I$3:$I$500,'Plan prihoda za unos u SAP'!$C$3:$C$500,"=573",'Plan prihoda za unos u SAP'!$K$3:$K$500,"=632")</f>
        <v>0</v>
      </c>
      <c r="Q91" s="186">
        <f>SUMIFS('Plan prihoda za unos u SAP'!$I$3:$I$500,'Plan prihoda za unos u SAP'!$C$3:$C$500,"=575",'Plan prihoda za unos u SAP'!$K$3:$K$500,"=632")</f>
        <v>0</v>
      </c>
      <c r="R91" s="186">
        <f>SUMIFS('Plan prihoda za unos u SAP'!$I$3:$I$500,'Plan prihoda za unos u SAP'!$C$3:$C$500,"=576",'Plan prihoda za unos u SAP'!$K$3:$K$500,"=632")</f>
        <v>0</v>
      </c>
      <c r="S91" s="186">
        <f>SUMIFS('Plan prihoda za unos u SAP'!$I$3:$I$500,'Plan prihoda za unos u SAP'!$C$3:$C$500,"=581",'Plan prihoda za unos u SAP'!$K$3:$K$500,"=632")</f>
        <v>0</v>
      </c>
      <c r="T91" s="186">
        <f>SUMIFS('Plan prihoda za unos u SAP'!$I$3:$I$500,'Plan prihoda za unos u SAP'!$C$3:$C$500,"=61",'Plan prihoda za unos u SAP'!$K$3:$K$500,"=632")</f>
        <v>0</v>
      </c>
      <c r="U91" s="186">
        <f>SUMIFS('Plan prihoda za unos u SAP'!$I$3:$I$500,'Plan prihoda za unos u SAP'!$C$3:$C$500,"=63",'Plan prihoda za unos u SAP'!$K$3:$K$500,"=632")</f>
        <v>0</v>
      </c>
      <c r="V91" s="186">
        <f>SUMIFS('Plan prihoda za unos u SAP'!$I$3:$I$500,'Plan prihoda za unos u SAP'!$C$3:$C$500,"=71",'Plan prihoda za unos u SAP'!$K$3:$K$500,"=632")</f>
        <v>0</v>
      </c>
      <c r="W91" s="186">
        <f>SUMIFS('Plan prihoda za unos u SAP'!$I$3:$I$500,'Plan prihoda za unos u SAP'!$C$3:$C$500,"=81",'Plan prihoda za unos u SAP'!$K$3:$K$500,"=632")</f>
        <v>0</v>
      </c>
    </row>
    <row r="92" spans="1:29" s="90" customFormat="1">
      <c r="A92" s="90">
        <v>2023</v>
      </c>
      <c r="B92" s="95" t="s">
        <v>278</v>
      </c>
      <c r="C92" s="96" t="s">
        <v>279</v>
      </c>
      <c r="D92" s="70">
        <f t="shared" si="21"/>
        <v>0</v>
      </c>
      <c r="E92" s="186">
        <f>SUMIFS('Plan prihoda za unos u SAP'!$I$3:$I$500,'Plan prihoda za unos u SAP'!$C$3:$C$500,"=11",'Plan prihoda za unos u SAP'!$K$3:$K$500,"=634")</f>
        <v>0</v>
      </c>
      <c r="F92" s="186">
        <f>SUMIFS('Plan prihoda za unos u SAP'!$I$3:$I$500,'Plan prihoda za unos u SAP'!$C$3:$C$500,"=12",'Plan prihoda za unos u SAP'!$K$3:$K$500,"=634")</f>
        <v>0</v>
      </c>
      <c r="G92" s="186">
        <f>SUMIFS('Plan prihoda za unos u SAP'!$I$3:$I$500,'Plan prihoda za unos u SAP'!$C$3:$C$500,"=31",'Plan prihoda za unos u SAP'!$K$3:$K$500,"=634")</f>
        <v>0</v>
      </c>
      <c r="H92" s="186">
        <f>SUMIFS('Plan prihoda za unos u SAP'!$I$3:$I$500,'Plan prihoda za unos u SAP'!$C$3:$C$500,"=41",'Plan prihoda za unos u SAP'!$K$3:$K$500,"=634")</f>
        <v>0</v>
      </c>
      <c r="I92" s="186">
        <f>SUMIFS('Plan prihoda za unos u SAP'!$I$3:$I$500,'Plan prihoda za unos u SAP'!$C$3:$C$500,"=43",'Plan prihoda za unos u SAP'!$K$3:$K$500,"=634")</f>
        <v>0</v>
      </c>
      <c r="J92" s="186">
        <f>SUMIFS('Plan prihoda za unos u SAP'!$I$3:$I$500,'Plan prihoda za unos u SAP'!$C$3:$C$500,"=51",'Plan prihoda za unos u SAP'!$K$3:$K$500,"=634")</f>
        <v>0</v>
      </c>
      <c r="K92" s="186">
        <f>SUMIFS('Plan prihoda za unos u SAP'!$I$3:$I$500,'Plan prihoda za unos u SAP'!$C$3:$C$500,"=52",'Plan prihoda za unos u SAP'!$K$3:$K$500,"=634")</f>
        <v>0</v>
      </c>
      <c r="L92" s="186">
        <f>SUMIFS('Plan prihoda za unos u SAP'!$I$3:$I$500,'Plan prihoda za unos u SAP'!$C$3:$C$500,"=552",'Plan prihoda za unos u SAP'!$K$3:$K$500,"=634")</f>
        <v>0</v>
      </c>
      <c r="M92" s="186">
        <f>SUMIFS('Plan prihoda za unos u SAP'!$I$3:$I$500,'Plan prihoda za unos u SAP'!$C$3:$C$500,"=559",'Plan prihoda za unos u SAP'!$K$3:$K$500,"=634")</f>
        <v>0</v>
      </c>
      <c r="N92" s="186">
        <f>SUMIFS('Plan prihoda za unos u SAP'!$I$3:$I$500,'Plan prihoda za unos u SAP'!$C$3:$C$500,"=561",'Plan prihoda za unos u SAP'!$K$3:$K$500,"=634")</f>
        <v>0</v>
      </c>
      <c r="O92" s="186">
        <f>SUMIFS('Plan prihoda za unos u SAP'!$I$3:$I$500,'Plan prihoda za unos u SAP'!$C$3:$C$500,"=563",'Plan prihoda za unos u SAP'!$K$3:$K$500,"=634")</f>
        <v>0</v>
      </c>
      <c r="P92" s="186">
        <f>SUMIFS('Plan prihoda za unos u SAP'!$I$3:$I$500,'Plan prihoda za unos u SAP'!$C$3:$C$500,"=573",'Plan prihoda za unos u SAP'!$K$3:$K$500,"=634")</f>
        <v>0</v>
      </c>
      <c r="Q92" s="186">
        <f>SUMIFS('Plan prihoda za unos u SAP'!$I$3:$I$500,'Plan prihoda za unos u SAP'!$C$3:$C$500,"=575",'Plan prihoda za unos u SAP'!$K$3:$K$500,"=634")</f>
        <v>0</v>
      </c>
      <c r="R92" s="186">
        <f>SUMIFS('Plan prihoda za unos u SAP'!$I$3:$I$500,'Plan prihoda za unos u SAP'!$C$3:$C$500,"=576",'Plan prihoda za unos u SAP'!$K$3:$K$500,"=634")</f>
        <v>0</v>
      </c>
      <c r="S92" s="186">
        <f>SUMIFS('Plan prihoda za unos u SAP'!$I$3:$I$500,'Plan prihoda za unos u SAP'!$C$3:$C$500,"=581",'Plan prihoda za unos u SAP'!$K$3:$K$500,"=634")</f>
        <v>0</v>
      </c>
      <c r="T92" s="186">
        <f>SUMIFS('Plan prihoda za unos u SAP'!$I$3:$I$500,'Plan prihoda za unos u SAP'!$C$3:$C$500,"=61",'Plan prihoda za unos u SAP'!$K$3:$K$500,"=634")</f>
        <v>0</v>
      </c>
      <c r="U92" s="186">
        <f>SUMIFS('Plan prihoda za unos u SAP'!$I$3:$I$500,'Plan prihoda za unos u SAP'!$C$3:$C$500,"=63",'Plan prihoda za unos u SAP'!$K$3:$K$500,"=634")</f>
        <v>0</v>
      </c>
      <c r="V92" s="186">
        <f>SUMIFS('Plan prihoda za unos u SAP'!$I$3:$I$500,'Plan prihoda za unos u SAP'!$C$3:$C$500,"=71",'Plan prihoda za unos u SAP'!$K$3:$K$500,"=634")</f>
        <v>0</v>
      </c>
      <c r="W92" s="186">
        <f>SUMIFS('Plan prihoda za unos u SAP'!$I$3:$I$500,'Plan prihoda za unos u SAP'!$C$3:$C$500,"=81",'Plan prihoda za unos u SAP'!$K$3:$K$500,"=634")</f>
        <v>0</v>
      </c>
    </row>
    <row r="93" spans="1:29" s="90" customFormat="1">
      <c r="A93" s="90">
        <v>2023</v>
      </c>
      <c r="B93" s="203" t="s">
        <v>735</v>
      </c>
      <c r="C93" s="96" t="s">
        <v>736</v>
      </c>
      <c r="D93" s="70">
        <f t="shared" si="21"/>
        <v>563485</v>
      </c>
      <c r="E93" s="186">
        <f>SUMIFS('Plan prihoda za unos u SAP'!$I$3:$I$500,'Plan prihoda za unos u SAP'!$C$3:$C$500,"=11",'Plan prihoda za unos u SAP'!$K$3:$K$500,"=636")</f>
        <v>0</v>
      </c>
      <c r="F93" s="186">
        <f>SUMIFS('Plan prihoda za unos u SAP'!$I$3:$I$500,'Plan prihoda za unos u SAP'!$C$3:$C$500,"=12",'Plan prihoda za unos u SAP'!$K$3:$K$500,"=636")</f>
        <v>0</v>
      </c>
      <c r="G93" s="186">
        <f>SUMIFS('Plan prihoda za unos u SAP'!$I$3:$I$500,'Plan prihoda za unos u SAP'!$C$3:$C$500,"=31",'Plan prihoda za unos u SAP'!$K$3:$K$500,"=636")</f>
        <v>0</v>
      </c>
      <c r="H93" s="186">
        <f>SUMIFS('Plan prihoda za unos u SAP'!$I$3:$I$500,'Plan prihoda za unos u SAP'!$C$3:$C$500,"=41",'Plan prihoda za unos u SAP'!$K$3:$K$500,"=636")</f>
        <v>0</v>
      </c>
      <c r="I93" s="186">
        <f>SUMIFS('Plan prihoda za unos u SAP'!$I$3:$I$500,'Plan prihoda za unos u SAP'!$C$3:$C$500,"=43",'Plan prihoda za unos u SAP'!$K$3:$K$500,"=636")</f>
        <v>0</v>
      </c>
      <c r="J93" s="186">
        <f>SUMIFS('Plan prihoda za unos u SAP'!$I$3:$I$500,'Plan prihoda za unos u SAP'!$C$3:$C$500,"=51",'Plan prihoda za unos u SAP'!$K$3:$K$500,"=636")</f>
        <v>0</v>
      </c>
      <c r="K93" s="186">
        <f>SUMIFS('Plan prihoda za unos u SAP'!$I$3:$I$500,'Plan prihoda za unos u SAP'!$C$3:$C$500,"=52",'Plan prihoda za unos u SAP'!$K$3:$K$500,"=636")</f>
        <v>563485</v>
      </c>
      <c r="L93" s="186">
        <f>SUMIFS('Plan prihoda za unos u SAP'!$I$3:$I$500,'Plan prihoda za unos u SAP'!$C$3:$C$500,"=552",'Plan prihoda za unos u SAP'!$K$3:$K$500,"=636")</f>
        <v>0</v>
      </c>
      <c r="M93" s="186">
        <f>SUMIFS('Plan prihoda za unos u SAP'!$I$3:$I$500,'Plan prihoda za unos u SAP'!$C$3:$C$500,"=559",'Plan prihoda za unos u SAP'!$K$3:$K$500,"=636")</f>
        <v>0</v>
      </c>
      <c r="N93" s="186">
        <f>SUMIFS('Plan prihoda za unos u SAP'!$I$3:$I$500,'Plan prihoda za unos u SAP'!$C$3:$C$500,"=561",'Plan prihoda za unos u SAP'!$K$3:$K$500,"=636")</f>
        <v>0</v>
      </c>
      <c r="O93" s="186">
        <f>SUMIFS('Plan prihoda za unos u SAP'!$I$3:$I$500,'Plan prihoda za unos u SAP'!$C$3:$C$500,"=563",'Plan prihoda za unos u SAP'!$K$3:$K$500,"=636")</f>
        <v>0</v>
      </c>
      <c r="P93" s="186">
        <f>SUMIFS('Plan prihoda za unos u SAP'!$I$3:$I$500,'Plan prihoda za unos u SAP'!$C$3:$C$500,"=573",'Plan prihoda za unos u SAP'!$K$3:$K$500,"=636")</f>
        <v>0</v>
      </c>
      <c r="Q93" s="186">
        <f>SUMIFS('Plan prihoda za unos u SAP'!$I$3:$I$500,'Plan prihoda za unos u SAP'!$C$3:$C$500,"=575",'Plan prihoda za unos u SAP'!$K$3:$K$500,"=636")</f>
        <v>0</v>
      </c>
      <c r="R93" s="186">
        <f>SUMIFS('Plan prihoda za unos u SAP'!$I$3:$I$500,'Plan prihoda za unos u SAP'!$C$3:$C$500,"=576",'Plan prihoda za unos u SAP'!$K$3:$K$500,"=636")</f>
        <v>0</v>
      </c>
      <c r="S93" s="186">
        <f>SUMIFS('Plan prihoda za unos u SAP'!$I$3:$I$500,'Plan prihoda za unos u SAP'!$C$3:$C$500,"=581",'Plan prihoda za unos u SAP'!$K$3:$K$500,"=636")</f>
        <v>0</v>
      </c>
      <c r="T93" s="186">
        <f>SUMIFS('Plan prihoda za unos u SAP'!$I$3:$I$500,'Plan prihoda za unos u SAP'!$C$3:$C$500,"=61",'Plan prihoda za unos u SAP'!$K$3:$K$500,"=636")</f>
        <v>0</v>
      </c>
      <c r="U93" s="186">
        <f>SUMIFS('Plan prihoda za unos u SAP'!$I$3:$I$500,'Plan prihoda za unos u SAP'!$C$3:$C$500,"=63",'Plan prihoda za unos u SAP'!$K$3:$K$500,"=636")</f>
        <v>0</v>
      </c>
      <c r="V93" s="186">
        <f>SUMIFS('Plan prihoda za unos u SAP'!$I$3:$I$500,'Plan prihoda za unos u SAP'!$C$3:$C$500,"=71",'Plan prihoda za unos u SAP'!$K$3:$K$500,"=636")</f>
        <v>0</v>
      </c>
      <c r="W93" s="186">
        <f>SUMIFS('Plan prihoda za unos u SAP'!$I$3:$I$500,'Plan prihoda za unos u SAP'!$C$3:$C$500,"=81",'Plan prihoda za unos u SAP'!$K$3:$K$500,"=636")</f>
        <v>0</v>
      </c>
    </row>
    <row r="94" spans="1:29" s="90" customFormat="1">
      <c r="A94" s="90">
        <v>2023</v>
      </c>
      <c r="B94" s="95" t="s">
        <v>280</v>
      </c>
      <c r="C94" s="96" t="s">
        <v>281</v>
      </c>
      <c r="D94" s="70">
        <f t="shared" si="21"/>
        <v>-1465530</v>
      </c>
      <c r="E94" s="186">
        <f>SUMIFS('Plan prihoda za unos u SAP'!$I$3:$I$500,'Plan prihoda za unos u SAP'!$C$3:$C$500,"=11",'Plan prihoda za unos u SAP'!$K$3:$K$500,"=638")</f>
        <v>0</v>
      </c>
      <c r="F94" s="186">
        <f>SUMIFS('Plan prihoda za unos u SAP'!$I$3:$I$500,'Plan prihoda za unos u SAP'!$C$3:$C$500,"=12",'Plan prihoda za unos u SAP'!$K$3:$K$500,"=638")</f>
        <v>0</v>
      </c>
      <c r="G94" s="186">
        <f>SUMIFS('Plan prihoda za unos u SAP'!$I$3:$I$500,'Plan prihoda za unos u SAP'!$C$3:$C$500,"=31",'Plan prihoda za unos u SAP'!$K$3:$K$500,"=638")</f>
        <v>0</v>
      </c>
      <c r="H94" s="186">
        <f>SUMIFS('Plan prihoda za unos u SAP'!$I$3:$I$500,'Plan prihoda za unos u SAP'!$C$3:$C$500,"=41",'Plan prihoda za unos u SAP'!$K$3:$K$500,"=638")</f>
        <v>0</v>
      </c>
      <c r="I94" s="186">
        <f>SUMIFS('Plan prihoda za unos u SAP'!$I$3:$I$500,'Plan prihoda za unos u SAP'!$C$3:$C$500,"=43",'Plan prihoda za unos u SAP'!$K$3:$K$500,"=638")</f>
        <v>0</v>
      </c>
      <c r="J94" s="186">
        <f>SUMIFS('Plan prihoda za unos u SAP'!$I$3:$I$500,'Plan prihoda za unos u SAP'!$C$3:$C$500,"=51",'Plan prihoda za unos u SAP'!$K$3:$K$500,"=638")</f>
        <v>0</v>
      </c>
      <c r="K94" s="186">
        <f>SUMIFS('Plan prihoda za unos u SAP'!$I$3:$I$500,'Plan prihoda za unos u SAP'!$C$3:$C$500,"=52",'Plan prihoda za unos u SAP'!$K$3:$K$500,"=638")</f>
        <v>-1465530</v>
      </c>
      <c r="L94" s="186">
        <f>SUMIFS('Plan prihoda za unos u SAP'!$I$3:$I$500,'Plan prihoda za unos u SAP'!$C$3:$C$500,"=552",'Plan prihoda za unos u SAP'!$K$3:$K$500,"=638")</f>
        <v>0</v>
      </c>
      <c r="M94" s="186">
        <f>SUMIFS('Plan prihoda za unos u SAP'!$I$3:$I$500,'Plan prihoda za unos u SAP'!$C$3:$C$500,"=559",'Plan prihoda za unos u SAP'!$K$3:$K$500,"=638")</f>
        <v>0</v>
      </c>
      <c r="N94" s="186">
        <f>SUMIFS('Plan prihoda za unos u SAP'!$I$3:$I$500,'Plan prihoda za unos u SAP'!$C$3:$C$500,"=561",'Plan prihoda za unos u SAP'!$K$3:$K$500,"=638")</f>
        <v>0</v>
      </c>
      <c r="O94" s="186">
        <f>SUMIFS('Plan prihoda za unos u SAP'!$I$3:$I$500,'Plan prihoda za unos u SAP'!$C$3:$C$500,"=563",'Plan prihoda za unos u SAP'!$K$3:$K$500,"=638")</f>
        <v>0</v>
      </c>
      <c r="P94" s="186">
        <f>SUMIFS('Plan prihoda za unos u SAP'!$I$3:$I$500,'Plan prihoda za unos u SAP'!$C$3:$C$500,"=573",'Plan prihoda za unos u SAP'!$K$3:$K$500,"=638")</f>
        <v>0</v>
      </c>
      <c r="Q94" s="186">
        <f>SUMIFS('Plan prihoda za unos u SAP'!$I$3:$I$500,'Plan prihoda za unos u SAP'!$C$3:$C$500,"=575",'Plan prihoda za unos u SAP'!$K$3:$K$500,"=638")</f>
        <v>0</v>
      </c>
      <c r="R94" s="186">
        <f>SUMIFS('Plan prihoda za unos u SAP'!$I$3:$I$500,'Plan prihoda za unos u SAP'!$C$3:$C$500,"=576",'Plan prihoda za unos u SAP'!$K$3:$K$500,"=638")</f>
        <v>0</v>
      </c>
      <c r="S94" s="186">
        <f>SUMIFS('Plan prihoda za unos u SAP'!$I$3:$I$500,'Plan prihoda za unos u SAP'!$C$3:$C$500,"=581",'Plan prihoda za unos u SAP'!$K$3:$K$500,"=638")</f>
        <v>0</v>
      </c>
      <c r="T94" s="186">
        <f>SUMIFS('Plan prihoda za unos u SAP'!$I$3:$I$500,'Plan prihoda za unos u SAP'!$C$3:$C$500,"=61",'Plan prihoda za unos u SAP'!$K$3:$K$500,"=638")</f>
        <v>0</v>
      </c>
      <c r="U94" s="186">
        <f>SUMIFS('Plan prihoda za unos u SAP'!$I$3:$I$500,'Plan prihoda za unos u SAP'!$C$3:$C$500,"=63",'Plan prihoda za unos u SAP'!$K$3:$K$500,"=638")</f>
        <v>0</v>
      </c>
      <c r="V94" s="186">
        <f>SUMIFS('Plan prihoda za unos u SAP'!$I$3:$I$500,'Plan prihoda za unos u SAP'!$C$3:$C$500,"=71",'Plan prihoda za unos u SAP'!$K$3:$K$500,"=638")</f>
        <v>0</v>
      </c>
      <c r="W94" s="186">
        <f>SUMIFS('Plan prihoda za unos u SAP'!$I$3:$I$500,'Plan prihoda za unos u SAP'!$C$3:$C$500,"=81",'Plan prihoda za unos u SAP'!$K$3:$K$500,"=638")</f>
        <v>0</v>
      </c>
    </row>
    <row r="95" spans="1:29" s="90" customFormat="1">
      <c r="A95" s="90">
        <v>2023</v>
      </c>
      <c r="B95" s="95" t="s">
        <v>282</v>
      </c>
      <c r="C95" s="96" t="s">
        <v>41</v>
      </c>
      <c r="D95" s="70">
        <f t="shared" si="21"/>
        <v>23510904</v>
      </c>
      <c r="E95" s="186">
        <f>SUMIFS('Plan prihoda za unos u SAP'!$I$3:$I$500,'Plan prihoda za unos u SAP'!$C$3:$C$500,"=11",'Plan prihoda za unos u SAP'!$K$3:$K$500,"=639")</f>
        <v>0</v>
      </c>
      <c r="F95" s="186">
        <f>SUMIFS('Plan prihoda za unos u SAP'!$I$3:$I$500,'Plan prihoda za unos u SAP'!$C$3:$C$500,"=12",'Plan prihoda za unos u SAP'!$K$3:$K$500,"=639")</f>
        <v>0</v>
      </c>
      <c r="G95" s="186">
        <f>SUMIFS('Plan prihoda za unos u SAP'!$I$3:$I$500,'Plan prihoda za unos u SAP'!$C$3:$C$500,"=31",'Plan prihoda za unos u SAP'!$K$3:$K$500,"=639")</f>
        <v>0</v>
      </c>
      <c r="H95" s="186">
        <f>SUMIFS('Plan prihoda za unos u SAP'!$I$3:$I$500,'Plan prihoda za unos u SAP'!$C$3:$C$500,"=41",'Plan prihoda za unos u SAP'!$K$3:$K$500,"=639")</f>
        <v>0</v>
      </c>
      <c r="I95" s="186">
        <f>SUMIFS('Plan prihoda za unos u SAP'!$I$3:$I$500,'Plan prihoda za unos u SAP'!$C$3:$C$500,"=43",'Plan prihoda za unos u SAP'!$K$3:$K$500,"=639")</f>
        <v>0</v>
      </c>
      <c r="J95" s="186">
        <f>SUMIFS('Plan prihoda za unos u SAP'!$I$3:$I$500,'Plan prihoda za unos u SAP'!$C$3:$C$500,"=51",'Plan prihoda za unos u SAP'!$K$3:$K$500,"=639")</f>
        <v>0</v>
      </c>
      <c r="K95" s="186">
        <f>SUMIFS('Plan prihoda za unos u SAP'!$I$3:$I$500,'Plan prihoda za unos u SAP'!$C$3:$C$500,"=52",'Plan prihoda za unos u SAP'!$K$3:$K$500,"=639")</f>
        <v>23510904</v>
      </c>
      <c r="L95" s="186">
        <f>SUMIFS('Plan prihoda za unos u SAP'!$I$3:$I$500,'Plan prihoda za unos u SAP'!$C$3:$C$500,"=552",'Plan prihoda za unos u SAP'!$K$3:$K$500,"=639")</f>
        <v>0</v>
      </c>
      <c r="M95" s="186">
        <f>SUMIFS('Plan prihoda za unos u SAP'!$I$3:$I$500,'Plan prihoda za unos u SAP'!$C$3:$C$500,"=559",'Plan prihoda za unos u SAP'!$K$3:$K$500,"=639")</f>
        <v>0</v>
      </c>
      <c r="N95" s="186">
        <f>SUMIFS('Plan prihoda za unos u SAP'!$I$3:$I$500,'Plan prihoda za unos u SAP'!$C$3:$C$500,"=561",'Plan prihoda za unos u SAP'!$K$3:$K$500,"=639")</f>
        <v>0</v>
      </c>
      <c r="O95" s="186">
        <f>SUMIFS('Plan prihoda za unos u SAP'!$I$3:$I$500,'Plan prihoda za unos u SAP'!$C$3:$C$500,"=563",'Plan prihoda za unos u SAP'!$K$3:$K$500,"=639")</f>
        <v>0</v>
      </c>
      <c r="P95" s="186">
        <f>SUMIFS('Plan prihoda za unos u SAP'!$I$3:$I$500,'Plan prihoda za unos u SAP'!$C$3:$C$500,"=573",'Plan prihoda za unos u SAP'!$K$3:$K$500,"=639")</f>
        <v>0</v>
      </c>
      <c r="Q95" s="186">
        <f>SUMIFS('Plan prihoda za unos u SAP'!$I$3:$I$500,'Plan prihoda za unos u SAP'!$C$3:$C$500,"=575",'Plan prihoda za unos u SAP'!$K$3:$K$500,"=639")</f>
        <v>0</v>
      </c>
      <c r="R95" s="186">
        <f>SUMIFS('Plan prihoda za unos u SAP'!$I$3:$I$500,'Plan prihoda za unos u SAP'!$C$3:$C$500,"=576",'Plan prihoda za unos u SAP'!$K$3:$K$500,"=639")</f>
        <v>0</v>
      </c>
      <c r="S95" s="186">
        <f>SUMIFS('Plan prihoda za unos u SAP'!$I$3:$I$500,'Plan prihoda za unos u SAP'!$C$3:$C$500,"=581",'Plan prihoda za unos u SAP'!$K$3:$K$500,"=639")</f>
        <v>0</v>
      </c>
      <c r="T95" s="186">
        <f>SUMIFS('Plan prihoda za unos u SAP'!$I$3:$I$500,'Plan prihoda za unos u SAP'!$C$3:$C$500,"=61",'Plan prihoda za unos u SAP'!$K$3:$K$500,"=639")</f>
        <v>0</v>
      </c>
      <c r="U95" s="186">
        <f>SUMIFS('Plan prihoda za unos u SAP'!$I$3:$I$500,'Plan prihoda za unos u SAP'!$C$3:$C$500,"=63",'Plan prihoda za unos u SAP'!$K$3:$K$500,"=639")</f>
        <v>0</v>
      </c>
      <c r="V95" s="186">
        <f>SUMIFS('Plan prihoda za unos u SAP'!$I$3:$I$500,'Plan prihoda za unos u SAP'!$C$3:$C$500,"=71",'Plan prihoda za unos u SAP'!$K$3:$K$500,"=639")</f>
        <v>0</v>
      </c>
      <c r="W95" s="186">
        <f>SUMIFS('Plan prihoda za unos u SAP'!$I$3:$I$500,'Plan prihoda za unos u SAP'!$C$3:$C$500,"=81",'Plan prihoda za unos u SAP'!$K$3:$K$500,"=639")</f>
        <v>0</v>
      </c>
      <c r="X95" s="261"/>
    </row>
    <row r="96" spans="1:29" s="90" customFormat="1">
      <c r="A96" s="90">
        <v>2023</v>
      </c>
      <c r="B96" s="95" t="s">
        <v>283</v>
      </c>
      <c r="C96" s="96" t="s">
        <v>284</v>
      </c>
      <c r="D96" s="70">
        <f t="shared" si="21"/>
        <v>-143000</v>
      </c>
      <c r="E96" s="186">
        <f>SUMIFS('Plan prihoda za unos u SAP'!$I$3:$I$500,'Plan prihoda za unos u SAP'!$C$3:$C$500,"=11",'Plan prihoda za unos u SAP'!$K$3:$K$500,"=641")</f>
        <v>0</v>
      </c>
      <c r="F96" s="186">
        <f>SUMIFS('Plan prihoda za unos u SAP'!$I$3:$I$500,'Plan prihoda za unos u SAP'!$C$3:$C$500,"=12",'Plan prihoda za unos u SAP'!$K$3:$K$500,"=641")</f>
        <v>0</v>
      </c>
      <c r="G96" s="186">
        <f>+G56-G17</f>
        <v>-143000</v>
      </c>
      <c r="H96" s="186">
        <f>SUMIFS('Plan prihoda za unos u SAP'!$I$3:$I$500,'Plan prihoda za unos u SAP'!$C$3:$C$500,"=41",'Plan prihoda za unos u SAP'!$K$3:$K$500,"=641")</f>
        <v>0</v>
      </c>
      <c r="I96" s="186">
        <f>SUMIFS('Plan prihoda za unos u SAP'!$I$3:$I$500,'Plan prihoda za unos u SAP'!$C$3:$C$500,"=43",'Plan prihoda za unos u SAP'!$K$3:$K$500,"=641")</f>
        <v>0</v>
      </c>
      <c r="J96" s="186">
        <f>SUMIFS('Plan prihoda za unos u SAP'!$I$3:$I$500,'Plan prihoda za unos u SAP'!$C$3:$C$500,"=51",'Plan prihoda za unos u SAP'!$K$3:$K$500,"=641")</f>
        <v>0</v>
      </c>
      <c r="K96" s="186">
        <f>SUMIFS('Plan prihoda za unos u SAP'!$I$3:$I$500,'Plan prihoda za unos u SAP'!$C$3:$C$500,"=52",'Plan prihoda za unos u SAP'!$K$3:$K$500,"=641")</f>
        <v>0</v>
      </c>
      <c r="L96" s="186">
        <f>SUMIFS('Plan prihoda za unos u SAP'!$I$3:$I$500,'Plan prihoda za unos u SAP'!$C$3:$C$500,"=552",'Plan prihoda za unos u SAP'!$K$3:$K$500,"=641")</f>
        <v>0</v>
      </c>
      <c r="M96" s="186">
        <f>SUMIFS('Plan prihoda za unos u SAP'!$I$3:$I$500,'Plan prihoda za unos u SAP'!$C$3:$C$500,"=559",'Plan prihoda za unos u SAP'!$K$3:$K$500,"=641")</f>
        <v>0</v>
      </c>
      <c r="N96" s="186">
        <f>SUMIFS('Plan prihoda za unos u SAP'!$I$3:$I$500,'Plan prihoda za unos u SAP'!$C$3:$C$500,"=561",'Plan prihoda za unos u SAP'!$K$3:$K$500,"=641")</f>
        <v>0</v>
      </c>
      <c r="O96" s="186">
        <f>SUMIFS('Plan prihoda za unos u SAP'!$I$3:$I$500,'Plan prihoda za unos u SAP'!$C$3:$C$500,"=563",'Plan prihoda za unos u SAP'!$K$3:$K$500,"=641")</f>
        <v>0</v>
      </c>
      <c r="P96" s="186">
        <f>SUMIFS('Plan prihoda za unos u SAP'!$I$3:$I$500,'Plan prihoda za unos u SAP'!$C$3:$C$500,"=573",'Plan prihoda za unos u SAP'!$K$3:$K$500,"=641")</f>
        <v>0</v>
      </c>
      <c r="Q96" s="186">
        <f>SUMIFS('Plan prihoda za unos u SAP'!$I$3:$I$500,'Plan prihoda za unos u SAP'!$C$3:$C$500,"=575",'Plan prihoda za unos u SAP'!$K$3:$K$500,"=641")</f>
        <v>0</v>
      </c>
      <c r="R96" s="186">
        <f>SUMIFS('Plan prihoda za unos u SAP'!$I$3:$I$500,'Plan prihoda za unos u SAP'!$C$3:$C$500,"=576",'Plan prihoda za unos u SAP'!$K$3:$K$500,"=641")</f>
        <v>0</v>
      </c>
      <c r="S96" s="186">
        <f>SUMIFS('Plan prihoda za unos u SAP'!$I$3:$I$500,'Plan prihoda za unos u SAP'!$C$3:$C$500,"=581",'Plan prihoda za unos u SAP'!$K$3:$K$500,"=641")</f>
        <v>0</v>
      </c>
      <c r="T96" s="186">
        <f>SUMIFS('Plan prihoda za unos u SAP'!$I$3:$I$500,'Plan prihoda za unos u SAP'!$C$3:$C$500,"=61",'Plan prihoda za unos u SAP'!$K$3:$K$500,"=641")</f>
        <v>0</v>
      </c>
      <c r="U96" s="186">
        <f>SUMIFS('Plan prihoda za unos u SAP'!$I$3:$I$500,'Plan prihoda za unos u SAP'!$C$3:$C$500,"=63",'Plan prihoda za unos u SAP'!$K$3:$K$500,"=641")</f>
        <v>0</v>
      </c>
      <c r="V96" s="186">
        <f>SUMIFS('Plan prihoda za unos u SAP'!$I$3:$I$500,'Plan prihoda za unos u SAP'!$C$3:$C$500,"=71",'Plan prihoda za unos u SAP'!$K$3:$K$500,"=641")</f>
        <v>0</v>
      </c>
      <c r="W96" s="186">
        <f>SUMIFS('Plan prihoda za unos u SAP'!$I$3:$I$500,'Plan prihoda za unos u SAP'!$C$3:$C$500,"=81",'Plan prihoda za unos u SAP'!$K$3:$K$500,"=641")</f>
        <v>0</v>
      </c>
    </row>
    <row r="97" spans="1:23" s="90" customFormat="1">
      <c r="A97" s="90">
        <v>2023</v>
      </c>
      <c r="B97" s="95" t="s">
        <v>285</v>
      </c>
      <c r="C97" s="96" t="s">
        <v>286</v>
      </c>
      <c r="D97" s="70">
        <f t="shared" si="21"/>
        <v>0</v>
      </c>
      <c r="E97" s="186">
        <f>SUMIFS('Plan prihoda za unos u SAP'!$I$3:$I$500,'Plan prihoda za unos u SAP'!$C$3:$C$500,"=11",'Plan prihoda za unos u SAP'!$K$3:$K$500,"=642")</f>
        <v>0</v>
      </c>
      <c r="F97" s="186">
        <f>SUMIFS('Plan prihoda za unos u SAP'!$I$3:$I$500,'Plan prihoda za unos u SAP'!$C$3:$C$500,"=12",'Plan prihoda za unos u SAP'!$K$3:$K$500,"=642")</f>
        <v>0</v>
      </c>
      <c r="G97" s="186">
        <f>SUMIFS('Plan prihoda za unos u SAP'!$I$3:$I$500,'Plan prihoda za unos u SAP'!$C$3:$C$500,"=31",'Plan prihoda za unos u SAP'!$K$3:$K$500,"=642")</f>
        <v>0</v>
      </c>
      <c r="H97" s="186">
        <f>SUMIFS('Plan prihoda za unos u SAP'!$I$3:$I$500,'Plan prihoda za unos u SAP'!$C$3:$C$500,"=41",'Plan prihoda za unos u SAP'!$K$3:$K$500,"=642")</f>
        <v>0</v>
      </c>
      <c r="I97" s="186">
        <f>SUMIFS('Plan prihoda za unos u SAP'!$I$3:$I$500,'Plan prihoda za unos u SAP'!$C$3:$C$500,"=43",'Plan prihoda za unos u SAP'!$K$3:$K$500,"=642")</f>
        <v>0</v>
      </c>
      <c r="J97" s="186">
        <f>SUMIFS('Plan prihoda za unos u SAP'!$I$3:$I$500,'Plan prihoda za unos u SAP'!$C$3:$C$500,"=51",'Plan prihoda za unos u SAP'!$K$3:$K$500,"=642")</f>
        <v>0</v>
      </c>
      <c r="K97" s="186">
        <f>SUMIFS('Plan prihoda za unos u SAP'!$I$3:$I$500,'Plan prihoda za unos u SAP'!$C$3:$C$500,"=52",'Plan prihoda za unos u SAP'!$K$3:$K$500,"=642")</f>
        <v>0</v>
      </c>
      <c r="L97" s="186">
        <f>SUMIFS('Plan prihoda za unos u SAP'!$I$3:$I$500,'Plan prihoda za unos u SAP'!$C$3:$C$500,"=552",'Plan prihoda za unos u SAP'!$K$3:$K$500,"=642")</f>
        <v>0</v>
      </c>
      <c r="M97" s="186">
        <f>SUMIFS('Plan prihoda za unos u SAP'!$I$3:$I$500,'Plan prihoda za unos u SAP'!$C$3:$C$500,"=559",'Plan prihoda za unos u SAP'!$K$3:$K$500,"=642")</f>
        <v>0</v>
      </c>
      <c r="N97" s="186">
        <f>SUMIFS('Plan prihoda za unos u SAP'!$I$3:$I$500,'Plan prihoda za unos u SAP'!$C$3:$C$500,"=561",'Plan prihoda za unos u SAP'!$K$3:$K$500,"=642")</f>
        <v>0</v>
      </c>
      <c r="O97" s="186">
        <f>SUMIFS('Plan prihoda za unos u SAP'!$I$3:$I$500,'Plan prihoda za unos u SAP'!$C$3:$C$500,"=563",'Plan prihoda za unos u SAP'!$K$3:$K$500,"=642")</f>
        <v>0</v>
      </c>
      <c r="P97" s="186">
        <f>SUMIFS('Plan prihoda za unos u SAP'!$I$3:$I$500,'Plan prihoda za unos u SAP'!$C$3:$C$500,"=573",'Plan prihoda za unos u SAP'!$K$3:$K$500,"=642")</f>
        <v>0</v>
      </c>
      <c r="Q97" s="186">
        <f>SUMIFS('Plan prihoda za unos u SAP'!$I$3:$I$500,'Plan prihoda za unos u SAP'!$C$3:$C$500,"=575",'Plan prihoda za unos u SAP'!$K$3:$K$500,"=642")</f>
        <v>0</v>
      </c>
      <c r="R97" s="186">
        <f>SUMIFS('Plan prihoda za unos u SAP'!$I$3:$I$500,'Plan prihoda za unos u SAP'!$C$3:$C$500,"=576",'Plan prihoda za unos u SAP'!$K$3:$K$500,"=642")</f>
        <v>0</v>
      </c>
      <c r="S97" s="186">
        <f>SUMIFS('Plan prihoda za unos u SAP'!$I$3:$I$500,'Plan prihoda za unos u SAP'!$C$3:$C$500,"=581",'Plan prihoda za unos u SAP'!$K$3:$K$500,"=642")</f>
        <v>0</v>
      </c>
      <c r="T97" s="186">
        <f>SUMIFS('Plan prihoda za unos u SAP'!$I$3:$I$500,'Plan prihoda za unos u SAP'!$C$3:$C$500,"=61",'Plan prihoda za unos u SAP'!$K$3:$K$500,"=642")</f>
        <v>0</v>
      </c>
      <c r="U97" s="186">
        <f>SUMIFS('Plan prihoda za unos u SAP'!$I$3:$I$500,'Plan prihoda za unos u SAP'!$C$3:$C$500,"=63",'Plan prihoda za unos u SAP'!$K$3:$K$500,"=642")</f>
        <v>0</v>
      </c>
      <c r="V97" s="186">
        <f>SUMIFS('Plan prihoda za unos u SAP'!$I$3:$I$500,'Plan prihoda za unos u SAP'!$C$3:$C$500,"=71",'Plan prihoda za unos u SAP'!$K$3:$K$500,"=642")</f>
        <v>0</v>
      </c>
      <c r="W97" s="186">
        <f>SUMIFS('Plan prihoda za unos u SAP'!$I$3:$I$500,'Plan prihoda za unos u SAP'!$C$3:$C$500,"=81",'Plan prihoda za unos u SAP'!$K$3:$K$500,"=642")</f>
        <v>0</v>
      </c>
    </row>
    <row r="98" spans="1:23" s="90" customFormat="1">
      <c r="A98" s="90">
        <v>2023</v>
      </c>
      <c r="B98" s="203" t="s">
        <v>738</v>
      </c>
      <c r="C98" s="96" t="s">
        <v>737</v>
      </c>
      <c r="D98" s="70">
        <f t="shared" si="21"/>
        <v>0</v>
      </c>
      <c r="E98" s="186">
        <f>SUMIFS('Plan prihoda za unos u SAP'!$I$3:$I$500,'Plan prihoda za unos u SAP'!$C$3:$C$500,"=11",'Plan prihoda za unos u SAP'!$K$3:$K$500,"=651")</f>
        <v>0</v>
      </c>
      <c r="F98" s="186">
        <f>SUMIFS('Plan prihoda za unos u SAP'!$I$3:$I$500,'Plan prihoda za unos u SAP'!$C$3:$C$500,"=12",'Plan prihoda za unos u SAP'!$K$3:$K$500,"=651")</f>
        <v>0</v>
      </c>
      <c r="G98" s="186">
        <f>SUMIFS('Plan prihoda za unos u SAP'!$I$3:$I$500,'Plan prihoda za unos u SAP'!$C$3:$C$500,"=31",'Plan prihoda za unos u SAP'!$K$3:$K$500,"=651")</f>
        <v>0</v>
      </c>
      <c r="H98" s="186">
        <f>SUMIFS('Plan prihoda za unos u SAP'!$I$3:$I$500,'Plan prihoda za unos u SAP'!$C$3:$C$500,"=41",'Plan prihoda za unos u SAP'!$K$3:$K$500,"=651")</f>
        <v>0</v>
      </c>
      <c r="I98" s="186">
        <f>SUMIFS('Plan prihoda za unos u SAP'!$I$3:$I$500,'Plan prihoda za unos u SAP'!$C$3:$C$500,"=43",'Plan prihoda za unos u SAP'!$K$3:$K$500,"=651")</f>
        <v>0</v>
      </c>
      <c r="J98" s="186">
        <f>SUMIFS('Plan prihoda za unos u SAP'!$I$3:$I$500,'Plan prihoda za unos u SAP'!$C$3:$C$500,"=51",'Plan prihoda za unos u SAP'!$K$3:$K$500,"=651")</f>
        <v>0</v>
      </c>
      <c r="K98" s="186">
        <f>SUMIFS('Plan prihoda za unos u SAP'!$I$3:$I$500,'Plan prihoda za unos u SAP'!$C$3:$C$500,"=52",'Plan prihoda za unos u SAP'!$K$3:$K$500,"=651")</f>
        <v>0</v>
      </c>
      <c r="L98" s="186">
        <f>SUMIFS('Plan prihoda za unos u SAP'!$I$3:$I$500,'Plan prihoda za unos u SAP'!$C$3:$C$500,"=552",'Plan prihoda za unos u SAP'!$K$3:$K$500,"=651")</f>
        <v>0</v>
      </c>
      <c r="M98" s="186">
        <f>SUMIFS('Plan prihoda za unos u SAP'!$I$3:$I$500,'Plan prihoda za unos u SAP'!$C$3:$C$500,"=559",'Plan prihoda za unos u SAP'!$K$3:$K$500,"=651")</f>
        <v>0</v>
      </c>
      <c r="N98" s="186">
        <f>SUMIFS('Plan prihoda za unos u SAP'!$I$3:$I$500,'Plan prihoda za unos u SAP'!$C$3:$C$500,"=561",'Plan prihoda za unos u SAP'!$K$3:$K$500,"=651")</f>
        <v>0</v>
      </c>
      <c r="O98" s="186">
        <f>SUMIFS('Plan prihoda za unos u SAP'!$I$3:$I$500,'Plan prihoda za unos u SAP'!$C$3:$C$500,"=563",'Plan prihoda za unos u SAP'!$K$3:$K$500,"=651")</f>
        <v>0</v>
      </c>
      <c r="P98" s="186">
        <f>SUMIFS('Plan prihoda za unos u SAP'!$I$3:$I$500,'Plan prihoda za unos u SAP'!$C$3:$C$500,"=573",'Plan prihoda za unos u SAP'!$K$3:$K$500,"=651")</f>
        <v>0</v>
      </c>
      <c r="Q98" s="186">
        <f>SUMIFS('Plan prihoda za unos u SAP'!$I$3:$I$500,'Plan prihoda za unos u SAP'!$C$3:$C$500,"=575",'Plan prihoda za unos u SAP'!$K$3:$K$500,"=651")</f>
        <v>0</v>
      </c>
      <c r="R98" s="186">
        <f>SUMIFS('Plan prihoda za unos u SAP'!$I$3:$I$500,'Plan prihoda za unos u SAP'!$C$3:$C$500,"=576",'Plan prihoda za unos u SAP'!$K$3:$K$500,"=651")</f>
        <v>0</v>
      </c>
      <c r="S98" s="186">
        <f>SUMIFS('Plan prihoda za unos u SAP'!$I$3:$I$500,'Plan prihoda za unos u SAP'!$C$3:$C$500,"=581",'Plan prihoda za unos u SAP'!$K$3:$K$500,"=651")</f>
        <v>0</v>
      </c>
      <c r="T98" s="186">
        <f>SUMIFS('Plan prihoda za unos u SAP'!$I$3:$I$500,'Plan prihoda za unos u SAP'!$C$3:$C$500,"=61",'Plan prihoda za unos u SAP'!$K$3:$K$500,"=651")</f>
        <v>0</v>
      </c>
      <c r="U98" s="186">
        <f>SUMIFS('Plan prihoda za unos u SAP'!$I$3:$I$500,'Plan prihoda za unos u SAP'!$C$3:$C$500,"=63",'Plan prihoda za unos u SAP'!$K$3:$K$500,"=651")</f>
        <v>0</v>
      </c>
      <c r="V98" s="186">
        <f>SUMIFS('Plan prihoda za unos u SAP'!$I$3:$I$500,'Plan prihoda za unos u SAP'!$C$3:$C$500,"=71",'Plan prihoda za unos u SAP'!$K$3:$K$500,"=651")</f>
        <v>0</v>
      </c>
      <c r="W98" s="186">
        <f>SUMIFS('Plan prihoda za unos u SAP'!$I$3:$I$500,'Plan prihoda za unos u SAP'!$C$3:$C$500,"=81",'Plan prihoda za unos u SAP'!$K$3:$K$500,"=651")</f>
        <v>0</v>
      </c>
    </row>
    <row r="99" spans="1:23" s="90" customFormat="1">
      <c r="A99" s="90">
        <v>2023</v>
      </c>
      <c r="B99" s="95" t="s">
        <v>287</v>
      </c>
      <c r="C99" s="96" t="s">
        <v>288</v>
      </c>
      <c r="D99" s="70">
        <f t="shared" si="21"/>
        <v>0</v>
      </c>
      <c r="E99" s="186">
        <f>SUMIFS('Plan prihoda za unos u SAP'!$I$3:$I$500,'Plan prihoda za unos u SAP'!$C$3:$C$500,"=11",'Plan prihoda za unos u SAP'!$K$3:$K$500,"=652")</f>
        <v>0</v>
      </c>
      <c r="F99" s="186">
        <f>SUMIFS('Plan prihoda za unos u SAP'!$I$3:$I$500,'Plan prihoda za unos u SAP'!$C$3:$C$500,"=12",'Plan prihoda za unos u SAP'!$K$3:$K$500,"=652")</f>
        <v>0</v>
      </c>
      <c r="G99" s="186">
        <f>SUMIFS('Plan prihoda za unos u SAP'!$I$3:$I$500,'Plan prihoda za unos u SAP'!$C$3:$C$500,"=31",'Plan prihoda za unos u SAP'!$K$3:$K$500,"=652")</f>
        <v>0</v>
      </c>
      <c r="H99" s="186">
        <f>SUMIFS('Plan prihoda za unos u SAP'!$I$3:$I$500,'Plan prihoda za unos u SAP'!$C$3:$C$500,"=41",'Plan prihoda za unos u SAP'!$K$3:$K$500,"=652")</f>
        <v>0</v>
      </c>
      <c r="I99" s="186">
        <f>SUMIFS('Plan prihoda za unos u SAP'!$I$3:$I$500,'Plan prihoda za unos u SAP'!$C$3:$C$500,"=43",'Plan prihoda za unos u SAP'!$K$3:$K$500,"=652")</f>
        <v>0</v>
      </c>
      <c r="J99" s="186">
        <f>SUMIFS('Plan prihoda za unos u SAP'!$I$3:$I$500,'Plan prihoda za unos u SAP'!$C$3:$C$500,"=51",'Plan prihoda za unos u SAP'!$K$3:$K$500,"=652")</f>
        <v>0</v>
      </c>
      <c r="K99" s="186">
        <f>SUMIFS('Plan prihoda za unos u SAP'!$I$3:$I$500,'Plan prihoda za unos u SAP'!$C$3:$C$500,"=52",'Plan prihoda za unos u SAP'!$K$3:$K$500,"=652")</f>
        <v>0</v>
      </c>
      <c r="L99" s="186">
        <f>SUMIFS('Plan prihoda za unos u SAP'!$I$3:$I$500,'Plan prihoda za unos u SAP'!$C$3:$C$500,"=552",'Plan prihoda za unos u SAP'!$K$3:$K$500,"=652")</f>
        <v>0</v>
      </c>
      <c r="M99" s="186">
        <f>SUMIFS('Plan prihoda za unos u SAP'!$I$3:$I$500,'Plan prihoda za unos u SAP'!$C$3:$C$500,"=559",'Plan prihoda za unos u SAP'!$K$3:$K$500,"=652")</f>
        <v>0</v>
      </c>
      <c r="N99" s="186">
        <f>SUMIFS('Plan prihoda za unos u SAP'!$I$3:$I$500,'Plan prihoda za unos u SAP'!$C$3:$C$500,"=561",'Plan prihoda za unos u SAP'!$K$3:$K$500,"=652")</f>
        <v>0</v>
      </c>
      <c r="O99" s="186">
        <f>SUMIFS('Plan prihoda za unos u SAP'!$I$3:$I$500,'Plan prihoda za unos u SAP'!$C$3:$C$500,"=563",'Plan prihoda za unos u SAP'!$K$3:$K$500,"=652")</f>
        <v>0</v>
      </c>
      <c r="P99" s="186">
        <f>SUMIFS('Plan prihoda za unos u SAP'!$I$3:$I$500,'Plan prihoda za unos u SAP'!$C$3:$C$500,"=573",'Plan prihoda za unos u SAP'!$K$3:$K$500,"=652")</f>
        <v>0</v>
      </c>
      <c r="Q99" s="186">
        <f>SUMIFS('Plan prihoda za unos u SAP'!$I$3:$I$500,'Plan prihoda za unos u SAP'!$C$3:$C$500,"=575",'Plan prihoda za unos u SAP'!$K$3:$K$500,"=652")</f>
        <v>0</v>
      </c>
      <c r="R99" s="186">
        <f>SUMIFS('Plan prihoda za unos u SAP'!$I$3:$I$500,'Plan prihoda za unos u SAP'!$C$3:$C$500,"=576",'Plan prihoda za unos u SAP'!$K$3:$K$500,"=652")</f>
        <v>0</v>
      </c>
      <c r="S99" s="186">
        <f>SUMIFS('Plan prihoda za unos u SAP'!$I$3:$I$500,'Plan prihoda za unos u SAP'!$C$3:$C$500,"=581",'Plan prihoda za unos u SAP'!$K$3:$K$500,"=652")</f>
        <v>0</v>
      </c>
      <c r="T99" s="186">
        <f>SUMIFS('Plan prihoda za unos u SAP'!$I$3:$I$500,'Plan prihoda za unos u SAP'!$C$3:$C$500,"=61",'Plan prihoda za unos u SAP'!$K$3:$K$500,"=652")</f>
        <v>0</v>
      </c>
      <c r="U99" s="186">
        <f>SUMIFS('Plan prihoda za unos u SAP'!$I$3:$I$500,'Plan prihoda za unos u SAP'!$C$3:$C$500,"=63",'Plan prihoda za unos u SAP'!$K$3:$K$500,"=652")</f>
        <v>0</v>
      </c>
      <c r="V99" s="186">
        <f>SUMIFS('Plan prihoda za unos u SAP'!$I$3:$I$500,'Plan prihoda za unos u SAP'!$C$3:$C$500,"=71",'Plan prihoda za unos u SAP'!$K$3:$K$500,"=652")</f>
        <v>0</v>
      </c>
      <c r="W99" s="186">
        <f>SUMIFS('Plan prihoda za unos u SAP'!$I$3:$I$500,'Plan prihoda za unos u SAP'!$C$3:$C$500,"=81",'Plan prihoda za unos u SAP'!$K$3:$K$500,"=652")</f>
        <v>0</v>
      </c>
    </row>
    <row r="100" spans="1:23" s="90" customFormat="1">
      <c r="A100" s="90">
        <v>2023</v>
      </c>
      <c r="B100" s="95" t="s">
        <v>289</v>
      </c>
      <c r="C100" s="96" t="s">
        <v>290</v>
      </c>
      <c r="D100" s="70">
        <f t="shared" si="21"/>
        <v>4000000</v>
      </c>
      <c r="E100" s="186">
        <f>SUMIFS('Plan prihoda za unos u SAP'!$I$3:$I$500,'Plan prihoda za unos u SAP'!$C$3:$C$500,"=11",'Plan prihoda za unos u SAP'!$K$3:$K$500,"=661")</f>
        <v>0</v>
      </c>
      <c r="F100" s="186">
        <f>SUMIFS('Plan prihoda za unos u SAP'!$I$3:$I$500,'Plan prihoda za unos u SAP'!$C$3:$C$500,"=12",'Plan prihoda za unos u SAP'!$K$3:$K$500,"=661")</f>
        <v>0</v>
      </c>
      <c r="G100" s="186">
        <f>SUMIFS('Plan prihoda za unos u SAP'!$I$3:$I$500,'Plan prihoda za unos u SAP'!$C$3:$C$500,"=31",'Plan prihoda za unos u SAP'!$K$3:$K$500,"=661")</f>
        <v>4000000</v>
      </c>
      <c r="H100" s="186">
        <f>SUMIFS('Plan prihoda za unos u SAP'!$I$3:$I$500,'Plan prihoda za unos u SAP'!$C$3:$C$500,"=41",'Plan prihoda za unos u SAP'!$K$3:$K$500,"=661")</f>
        <v>0</v>
      </c>
      <c r="I100" s="186">
        <f>SUMIFS('Plan prihoda za unos u SAP'!$I$3:$I$500,'Plan prihoda za unos u SAP'!$C$3:$C$500,"=43",'Plan prihoda za unos u SAP'!$K$3:$K$500,"=661")</f>
        <v>0</v>
      </c>
      <c r="J100" s="186">
        <f>SUMIFS('Plan prihoda za unos u SAP'!$I$3:$I$500,'Plan prihoda za unos u SAP'!$C$3:$C$500,"=51",'Plan prihoda za unos u SAP'!$K$3:$K$500,"=661")</f>
        <v>0</v>
      </c>
      <c r="K100" s="186">
        <f>SUMIFS('Plan prihoda za unos u SAP'!$I$3:$I$500,'Plan prihoda za unos u SAP'!$C$3:$C$500,"=52",'Plan prihoda za unos u SAP'!$K$3:$K$500,"=661")</f>
        <v>0</v>
      </c>
      <c r="L100" s="186">
        <f>SUMIFS('Plan prihoda za unos u SAP'!$I$3:$I$500,'Plan prihoda za unos u SAP'!$C$3:$C$500,"=552",'Plan prihoda za unos u SAP'!$K$3:$K$500,"=661")</f>
        <v>0</v>
      </c>
      <c r="M100" s="186">
        <f>SUMIFS('Plan prihoda za unos u SAP'!$I$3:$I$500,'Plan prihoda za unos u SAP'!$C$3:$C$500,"=559",'Plan prihoda za unos u SAP'!$K$3:$K$500,"=661")</f>
        <v>0</v>
      </c>
      <c r="N100" s="186">
        <f>SUMIFS('Plan prihoda za unos u SAP'!$I$3:$I$500,'Plan prihoda za unos u SAP'!$C$3:$C$500,"=561",'Plan prihoda za unos u SAP'!$K$3:$K$500,"=661")</f>
        <v>0</v>
      </c>
      <c r="O100" s="186">
        <f>SUMIFS('Plan prihoda za unos u SAP'!$I$3:$I$500,'Plan prihoda za unos u SAP'!$C$3:$C$500,"=563",'Plan prihoda za unos u SAP'!$K$3:$K$500,"=661")</f>
        <v>0</v>
      </c>
      <c r="P100" s="186">
        <f>SUMIFS('Plan prihoda za unos u SAP'!$I$3:$I$500,'Plan prihoda za unos u SAP'!$C$3:$C$500,"=573",'Plan prihoda za unos u SAP'!$K$3:$K$500,"=661")</f>
        <v>0</v>
      </c>
      <c r="Q100" s="186">
        <f>SUMIFS('Plan prihoda za unos u SAP'!$I$3:$I$500,'Plan prihoda za unos u SAP'!$C$3:$C$500,"=575",'Plan prihoda za unos u SAP'!$K$3:$K$500,"=661")</f>
        <v>0</v>
      </c>
      <c r="R100" s="186">
        <f>SUMIFS('Plan prihoda za unos u SAP'!$I$3:$I$500,'Plan prihoda za unos u SAP'!$C$3:$C$500,"=576",'Plan prihoda za unos u SAP'!$K$3:$K$500,"=661")</f>
        <v>0</v>
      </c>
      <c r="S100" s="186">
        <f>SUMIFS('Plan prihoda za unos u SAP'!$I$3:$I$500,'Plan prihoda za unos u SAP'!$C$3:$C$500,"=581",'Plan prihoda za unos u SAP'!$K$3:$K$500,"=661")</f>
        <v>0</v>
      </c>
      <c r="T100" s="186">
        <f>SUMIFS('Plan prihoda za unos u SAP'!$I$3:$I$500,'Plan prihoda za unos u SAP'!$C$3:$C$500,"=61",'Plan prihoda za unos u SAP'!$K$3:$K$500,"=661")</f>
        <v>0</v>
      </c>
      <c r="U100" s="186">
        <f>SUMIFS('Plan prihoda za unos u SAP'!$I$3:$I$500,'Plan prihoda za unos u SAP'!$C$3:$C$500,"=63",'Plan prihoda za unos u SAP'!$K$3:$K$500,"=661")</f>
        <v>0</v>
      </c>
      <c r="V100" s="186">
        <f>SUMIFS('Plan prihoda za unos u SAP'!$I$3:$I$500,'Plan prihoda za unos u SAP'!$C$3:$C$500,"=71",'Plan prihoda za unos u SAP'!$K$3:$K$500,"=661")</f>
        <v>0</v>
      </c>
      <c r="W100" s="186">
        <f>SUMIFS('Plan prihoda za unos u SAP'!$I$3:$I$500,'Plan prihoda za unos u SAP'!$C$3:$C$500,"=81",'Plan prihoda za unos u SAP'!$K$3:$K$500,"=661")</f>
        <v>0</v>
      </c>
    </row>
    <row r="101" spans="1:23" s="90" customFormat="1">
      <c r="A101" s="90">
        <v>2023</v>
      </c>
      <c r="B101" s="95" t="s">
        <v>291</v>
      </c>
      <c r="C101" s="96" t="s">
        <v>292</v>
      </c>
      <c r="D101" s="70">
        <f t="shared" si="21"/>
        <v>692907</v>
      </c>
      <c r="E101" s="186">
        <f>SUMIFS('Plan prihoda za unos u SAP'!$I$3:$I$500,'Plan prihoda za unos u SAP'!$C$3:$C$500,"=11",'Plan prihoda za unos u SAP'!$K$3:$K$500,"=663")</f>
        <v>0</v>
      </c>
      <c r="F101" s="186">
        <f>SUMIFS('Plan prihoda za unos u SAP'!$I$3:$I$500,'Plan prihoda za unos u SAP'!$C$3:$C$500,"=12",'Plan prihoda za unos u SAP'!$K$3:$K$500,"=663")</f>
        <v>0</v>
      </c>
      <c r="G101" s="186">
        <f>SUMIFS('Plan prihoda za unos u SAP'!$I$3:$I$500,'Plan prihoda za unos u SAP'!$C$3:$C$500,"=31",'Plan prihoda za unos u SAP'!$K$3:$K$500,"=663")</f>
        <v>0</v>
      </c>
      <c r="H101" s="186">
        <f>SUMIFS('Plan prihoda za unos u SAP'!$I$3:$I$500,'Plan prihoda za unos u SAP'!$C$3:$C$500,"=41",'Plan prihoda za unos u SAP'!$K$3:$K$500,"=663")</f>
        <v>0</v>
      </c>
      <c r="I101" s="186">
        <f>SUMIFS('Plan prihoda za unos u SAP'!$I$3:$I$500,'Plan prihoda za unos u SAP'!$C$3:$C$500,"=43",'Plan prihoda za unos u SAP'!$K$3:$K$500,"=663")</f>
        <v>0</v>
      </c>
      <c r="J101" s="186">
        <f>SUMIFS('Plan prihoda za unos u SAP'!$I$3:$I$500,'Plan prihoda za unos u SAP'!$C$3:$C$500,"=51",'Plan prihoda za unos u SAP'!$K$3:$K$500,"=663")</f>
        <v>0</v>
      </c>
      <c r="K101" s="186">
        <f>SUMIFS('Plan prihoda za unos u SAP'!$I$3:$I$500,'Plan prihoda za unos u SAP'!$C$3:$C$500,"=52",'Plan prihoda za unos u SAP'!$K$3:$K$500,"=663")</f>
        <v>0</v>
      </c>
      <c r="L101" s="186">
        <f>SUMIFS('Plan prihoda za unos u SAP'!$I$3:$I$500,'Plan prihoda za unos u SAP'!$C$3:$C$500,"=552",'Plan prihoda za unos u SAP'!$K$3:$K$500,"=663")</f>
        <v>0</v>
      </c>
      <c r="M101" s="186">
        <f>SUMIFS('Plan prihoda za unos u SAP'!$I$3:$I$500,'Plan prihoda za unos u SAP'!$C$3:$C$500,"=559",'Plan prihoda za unos u SAP'!$K$3:$K$500,"=663")</f>
        <v>0</v>
      </c>
      <c r="N101" s="186">
        <f>SUMIFS('Plan prihoda za unos u SAP'!$I$3:$I$500,'Plan prihoda za unos u SAP'!$C$3:$C$500,"=561",'Plan prihoda za unos u SAP'!$K$3:$K$500,"=663")</f>
        <v>0</v>
      </c>
      <c r="O101" s="186">
        <f>SUMIFS('Plan prihoda za unos u SAP'!$I$3:$I$500,'Plan prihoda za unos u SAP'!$C$3:$C$500,"=563",'Plan prihoda za unos u SAP'!$K$3:$K$500,"=663")</f>
        <v>0</v>
      </c>
      <c r="P101" s="186">
        <f>SUMIFS('Plan prihoda za unos u SAP'!$I$3:$I$500,'Plan prihoda za unos u SAP'!$C$3:$C$500,"=573",'Plan prihoda za unos u SAP'!$K$3:$K$500,"=663")</f>
        <v>0</v>
      </c>
      <c r="Q101" s="186">
        <f>SUMIFS('Plan prihoda za unos u SAP'!$I$3:$I$500,'Plan prihoda za unos u SAP'!$C$3:$C$500,"=575",'Plan prihoda za unos u SAP'!$K$3:$K$500,"=663")</f>
        <v>0</v>
      </c>
      <c r="R101" s="186">
        <f>SUMIFS('Plan prihoda za unos u SAP'!$I$3:$I$500,'Plan prihoda za unos u SAP'!$C$3:$C$500,"=576",'Plan prihoda za unos u SAP'!$K$3:$K$500,"=663")</f>
        <v>0</v>
      </c>
      <c r="S101" s="186">
        <f>SUMIFS('Plan prihoda za unos u SAP'!$I$3:$I$500,'Plan prihoda za unos u SAP'!$C$3:$C$500,"=581",'Plan prihoda za unos u SAP'!$K$3:$K$500,"=663")</f>
        <v>0</v>
      </c>
      <c r="T101" s="186">
        <f>SUMIFS('Plan prihoda za unos u SAP'!$I$3:$I$500,'Plan prihoda za unos u SAP'!$C$3:$C$500,"=61",'Plan prihoda za unos u SAP'!$K$3:$K$500,"=663")</f>
        <v>692907</v>
      </c>
      <c r="U101" s="186">
        <f>SUMIFS('Plan prihoda za unos u SAP'!$I$3:$I$500,'Plan prihoda za unos u SAP'!$C$3:$C$500,"=63",'Plan prihoda za unos u SAP'!$K$3:$K$500,"=663")</f>
        <v>0</v>
      </c>
      <c r="V101" s="186">
        <f>SUMIFS('Plan prihoda za unos u SAP'!$I$3:$I$500,'Plan prihoda za unos u SAP'!$C$3:$C$500,"=71",'Plan prihoda za unos u SAP'!$K$3:$K$500,"=663")</f>
        <v>0</v>
      </c>
      <c r="W101" s="186">
        <f>SUMIFS('Plan prihoda za unos u SAP'!$I$3:$I$500,'Plan prihoda za unos u SAP'!$C$3:$C$500,"=81",'Plan prihoda za unos u SAP'!$K$3:$K$500,"=663")</f>
        <v>0</v>
      </c>
    </row>
    <row r="102" spans="1:23" s="90" customFormat="1">
      <c r="A102" s="90">
        <v>2023</v>
      </c>
      <c r="B102" s="95" t="s">
        <v>293</v>
      </c>
      <c r="C102" s="129" t="s">
        <v>254</v>
      </c>
      <c r="D102" s="70">
        <f t="shared" si="21"/>
        <v>7813056.3844248569</v>
      </c>
      <c r="E102" s="186">
        <f>SUMIFS('Plan prihoda za unos u SAP'!$I$3:$I$500,'Plan prihoda za unos u SAP'!$C$3:$C$500,"=11",'Plan prihoda za unos u SAP'!$K$3:$K$500,"=671")</f>
        <v>7567779.3844248569</v>
      </c>
      <c r="F102" s="186">
        <f>SUMIFS('Plan prihoda za unos u SAP'!$I$3:$I$500,'Plan prihoda za unos u SAP'!$C$3:$C$500,"=12",'Plan prihoda za unos u SAP'!$K$3:$K$500,"=671")</f>
        <v>245277</v>
      </c>
      <c r="G102" s="186">
        <f>SUMIFS('Plan prihoda za unos u SAP'!$I$3:$I$500,'Plan prihoda za unos u SAP'!$C$3:$C$500,"=31",'Plan prihoda za unos u SAP'!$K$3:$K$500,"=671")</f>
        <v>0</v>
      </c>
      <c r="H102" s="186">
        <f>SUMIFS('Plan prihoda za unos u SAP'!$I$3:$I$500,'Plan prihoda za unos u SAP'!$C$3:$C$500,"=41",'Plan prihoda za unos u SAP'!$K$3:$K$500,"=671")</f>
        <v>0</v>
      </c>
      <c r="I102" s="186">
        <f>SUMIFS('Plan prihoda za unos u SAP'!$I$3:$I$500,'Plan prihoda za unos u SAP'!$C$3:$C$500,"=43",'Plan prihoda za unos u SAP'!$K$3:$K$500,"=671")</f>
        <v>0</v>
      </c>
      <c r="J102" s="186">
        <f>SUMIFS('Plan prihoda za unos u SAP'!$I$3:$I$500,'Plan prihoda za unos u SAP'!$C$3:$C$500,"=51",'Plan prihoda za unos u SAP'!$K$3:$K$500,"=671")</f>
        <v>0</v>
      </c>
      <c r="K102" s="186">
        <f>SUMIFS('Plan prihoda za unos u SAP'!$I$3:$I$500,'Plan prihoda za unos u SAP'!$C$3:$C$500,"=52",'Plan prihoda za unos u SAP'!$K$3:$K$500,"=671")</f>
        <v>0</v>
      </c>
      <c r="L102" s="186">
        <f>SUMIFS('Plan prihoda za unos u SAP'!$I$3:$I$500,'Plan prihoda za unos u SAP'!$C$3:$C$500,"=552",'Plan prihoda za unos u SAP'!$K$3:$K$500,"=671")</f>
        <v>0</v>
      </c>
      <c r="M102" s="186">
        <f>SUMIFS('Plan prihoda za unos u SAP'!$I$3:$I$500,'Plan prihoda za unos u SAP'!$C$3:$C$500,"=559",'Plan prihoda za unos u SAP'!$K$3:$K$500,"=671")</f>
        <v>0</v>
      </c>
      <c r="N102" s="186">
        <f>SUMIFS('Plan prihoda za unos u SAP'!$I$3:$I$500,'Plan prihoda za unos u SAP'!$C$3:$C$500,"=561",'Plan prihoda za unos u SAP'!$K$3:$K$500,"=671")</f>
        <v>0</v>
      </c>
      <c r="O102" s="186">
        <f>SUMIFS('Plan prihoda za unos u SAP'!$I$3:$I$500,'Plan prihoda za unos u SAP'!$C$3:$C$500,"=563",'Plan prihoda za unos u SAP'!$K$3:$K$500,"=671")</f>
        <v>0</v>
      </c>
      <c r="P102" s="186">
        <f>SUMIFS('Plan prihoda za unos u SAP'!$I$3:$I$500,'Plan prihoda za unos u SAP'!$C$3:$C$500,"=573",'Plan prihoda za unos u SAP'!$K$3:$K$500,"=671")</f>
        <v>0</v>
      </c>
      <c r="Q102" s="186">
        <f>SUMIFS('Plan prihoda za unos u SAP'!$I$3:$I$500,'Plan prihoda za unos u SAP'!$C$3:$C$500,"=575",'Plan prihoda za unos u SAP'!$K$3:$K$500,"=671")</f>
        <v>0</v>
      </c>
      <c r="R102" s="186">
        <f>SUMIFS('Plan prihoda za unos u SAP'!$I$3:$I$500,'Plan prihoda za unos u SAP'!$C$3:$C$500,"=576",'Plan prihoda za unos u SAP'!$K$3:$K$500,"=671")</f>
        <v>0</v>
      </c>
      <c r="S102" s="186">
        <f>SUMIFS('Plan prihoda za unos u SAP'!$I$3:$I$500,'Plan prihoda za unos u SAP'!$C$3:$C$500,"=581",'Plan prihoda za unos u SAP'!$K$3:$K$500,"=671")</f>
        <v>0</v>
      </c>
      <c r="T102" s="186">
        <f>SUMIFS('Plan prihoda za unos u SAP'!$I$3:$I$500,'Plan prihoda za unos u SAP'!$C$3:$C$500,"=61",'Plan prihoda za unos u SAP'!$K$3:$K$500,"=671")</f>
        <v>0</v>
      </c>
      <c r="U102" s="186">
        <f>SUMIFS('Plan prihoda za unos u SAP'!$I$3:$I$500,'Plan prihoda za unos u SAP'!$C$3:$C$500,"=63",'Plan prihoda za unos u SAP'!$K$3:$K$500,"=671")</f>
        <v>0</v>
      </c>
      <c r="V102" s="186">
        <f>SUMIFS('Plan prihoda za unos u SAP'!$I$3:$I$500,'Plan prihoda za unos u SAP'!$C$3:$C$500,"=71",'Plan prihoda za unos u SAP'!$K$3:$K$500,"=671")</f>
        <v>0</v>
      </c>
      <c r="W102" s="186">
        <f>SUMIFS('Plan prihoda za unos u SAP'!$I$3:$I$500,'Plan prihoda za unos u SAP'!$C$3:$C$500,"=81",'Plan prihoda za unos u SAP'!$K$3:$K$500,"=671")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1"/>
        <v>0</v>
      </c>
      <c r="E103" s="186">
        <f>SUMIFS('Plan prihoda za unos u SAP'!$I$3:$I$500,'Plan prihoda za unos u SAP'!$C$3:$C$500,"=11",'Plan prihoda za unos u SAP'!$K$3:$K$500,"=681")</f>
        <v>0</v>
      </c>
      <c r="F103" s="186">
        <f>SUMIFS('Plan prihoda za unos u SAP'!$I$3:$I$500,'Plan prihoda za unos u SAP'!$C$3:$C$500,"=12",'Plan prihoda za unos u SAP'!$K$3:$K$500,"=681")</f>
        <v>0</v>
      </c>
      <c r="G103" s="186">
        <f>SUMIFS('Plan prihoda za unos u SAP'!$I$3:$I$500,'Plan prihoda za unos u SAP'!$C$3:$C$500,"=31",'Plan prihoda za unos u SAP'!$K$3:$K$500,"=681")</f>
        <v>0</v>
      </c>
      <c r="H103" s="186">
        <f>SUMIFS('Plan prihoda za unos u SAP'!$I$3:$I$500,'Plan prihoda za unos u SAP'!$C$3:$C$500,"=41",'Plan prihoda za unos u SAP'!$K$3:$K$500,"=681")</f>
        <v>0</v>
      </c>
      <c r="I103" s="186">
        <f>SUMIFS('Plan prihoda za unos u SAP'!$I$3:$I$500,'Plan prihoda za unos u SAP'!$C$3:$C$500,"=43",'Plan prihoda za unos u SAP'!$K$3:$K$500,"=681")</f>
        <v>0</v>
      </c>
      <c r="J103" s="186">
        <f>SUMIFS('Plan prihoda za unos u SAP'!$I$3:$I$500,'Plan prihoda za unos u SAP'!$C$3:$C$500,"=51",'Plan prihoda za unos u SAP'!$K$3:$K$500,"=681")</f>
        <v>0</v>
      </c>
      <c r="K103" s="186">
        <f>SUMIFS('Plan prihoda za unos u SAP'!$I$3:$I$500,'Plan prihoda za unos u SAP'!$C$3:$C$500,"=52",'Plan prihoda za unos u SAP'!$K$3:$K$500,"=681")</f>
        <v>0</v>
      </c>
      <c r="L103" s="186">
        <f>SUMIFS('Plan prihoda za unos u SAP'!$I$3:$I$500,'Plan prihoda za unos u SAP'!$C$3:$C$500,"=552",'Plan prihoda za unos u SAP'!$K$3:$K$500,"=681")</f>
        <v>0</v>
      </c>
      <c r="M103" s="186">
        <f>SUMIFS('Plan prihoda za unos u SAP'!$I$3:$I$500,'Plan prihoda za unos u SAP'!$C$3:$C$500,"=559",'Plan prihoda za unos u SAP'!$K$3:$K$500,"=681")</f>
        <v>0</v>
      </c>
      <c r="N103" s="186">
        <f>SUMIFS('Plan prihoda za unos u SAP'!$I$3:$I$500,'Plan prihoda za unos u SAP'!$C$3:$C$500,"=561",'Plan prihoda za unos u SAP'!$K$3:$K$500,"=681")</f>
        <v>0</v>
      </c>
      <c r="O103" s="186">
        <f>SUMIFS('Plan prihoda za unos u SAP'!$I$3:$I$500,'Plan prihoda za unos u SAP'!$C$3:$C$500,"=563",'Plan prihoda za unos u SAP'!$K$3:$K$500,"=681")</f>
        <v>0</v>
      </c>
      <c r="P103" s="186">
        <f>SUMIFS('Plan prihoda za unos u SAP'!$I$3:$I$500,'Plan prihoda za unos u SAP'!$C$3:$C$500,"=573",'Plan prihoda za unos u SAP'!$K$3:$K$500,"=681")</f>
        <v>0</v>
      </c>
      <c r="Q103" s="186">
        <f>SUMIFS('Plan prihoda za unos u SAP'!$I$3:$I$500,'Plan prihoda za unos u SAP'!$C$3:$C$500,"=575",'Plan prihoda za unos u SAP'!$K$3:$K$500,"=681")</f>
        <v>0</v>
      </c>
      <c r="R103" s="186">
        <f>SUMIFS('Plan prihoda za unos u SAP'!$I$3:$I$500,'Plan prihoda za unos u SAP'!$C$3:$C$500,"=576",'Plan prihoda za unos u SAP'!$K$3:$K$500,"=681")</f>
        <v>0</v>
      </c>
      <c r="S103" s="186">
        <f>SUMIFS('Plan prihoda za unos u SAP'!$I$3:$I$500,'Plan prihoda za unos u SAP'!$C$3:$C$500,"=581",'Plan prihoda za unos u SAP'!$K$3:$K$500,"=681")</f>
        <v>0</v>
      </c>
      <c r="T103" s="186">
        <f>SUMIFS('Plan prihoda za unos u SAP'!$I$3:$I$500,'Plan prihoda za unos u SAP'!$C$3:$C$500,"=61",'Plan prihoda za unos u SAP'!$K$3:$K$500,"=681")</f>
        <v>0</v>
      </c>
      <c r="U103" s="186">
        <f>SUMIFS('Plan prihoda za unos u SAP'!$I$3:$I$500,'Plan prihoda za unos u SAP'!$C$3:$C$500,"=63",'Plan prihoda za unos u SAP'!$K$3:$K$500,"=681")</f>
        <v>0</v>
      </c>
      <c r="V103" s="186">
        <f>SUMIFS('Plan prihoda za unos u SAP'!$I$3:$I$500,'Plan prihoda za unos u SAP'!$C$3:$C$500,"=71",'Plan prihoda za unos u SAP'!$K$3:$K$500,"=681")</f>
        <v>0</v>
      </c>
      <c r="W103" s="186">
        <f>SUMIFS('Plan prihoda za unos u SAP'!$I$3:$I$500,'Plan prihoda za unos u SAP'!$C$3:$C$500,"=81",'Plan prihoda za unos u SAP'!$K$3:$K$500,"=681")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1"/>
        <v>0</v>
      </c>
      <c r="E104" s="186">
        <f>SUMIFS('Plan prihoda za unos u SAP'!$I$3:$I$500,'Plan prihoda za unos u SAP'!$C$3:$C$500,"=11",'Plan prihoda za unos u SAP'!$K$3:$K$500,"=683")</f>
        <v>0</v>
      </c>
      <c r="F104" s="186">
        <f>SUMIFS('Plan prihoda za unos u SAP'!$I$3:$I$500,'Plan prihoda za unos u SAP'!$C$3:$C$500,"=12",'Plan prihoda za unos u SAP'!$K$3:$K$500,"=683")</f>
        <v>0</v>
      </c>
      <c r="G104" s="186">
        <f>SUMIFS('Plan prihoda za unos u SAP'!$I$3:$I$500,'Plan prihoda za unos u SAP'!$C$3:$C$500,"=31",'Plan prihoda za unos u SAP'!$K$3:$K$500,"=683")</f>
        <v>0</v>
      </c>
      <c r="H104" s="186">
        <f>SUMIFS('Plan prihoda za unos u SAP'!$I$3:$I$500,'Plan prihoda za unos u SAP'!$C$3:$C$500,"=41",'Plan prihoda za unos u SAP'!$K$3:$K$500,"=683")</f>
        <v>0</v>
      </c>
      <c r="I104" s="186">
        <f>SUMIFS('Plan prihoda za unos u SAP'!$I$3:$I$500,'Plan prihoda za unos u SAP'!$C$3:$C$500,"=43",'Plan prihoda za unos u SAP'!$K$3:$K$500,"=683")</f>
        <v>0</v>
      </c>
      <c r="J104" s="186">
        <f>SUMIFS('Plan prihoda za unos u SAP'!$I$3:$I$500,'Plan prihoda za unos u SAP'!$C$3:$C$500,"=51",'Plan prihoda za unos u SAP'!$K$3:$K$500,"=683")</f>
        <v>0</v>
      </c>
      <c r="K104" s="186">
        <f>SUMIFS('Plan prihoda za unos u SAP'!$I$3:$I$500,'Plan prihoda za unos u SAP'!$C$3:$C$500,"=52",'Plan prihoda za unos u SAP'!$K$3:$K$500,"=683")</f>
        <v>0</v>
      </c>
      <c r="L104" s="186">
        <f>SUMIFS('Plan prihoda za unos u SAP'!$I$3:$I$500,'Plan prihoda za unos u SAP'!$C$3:$C$500,"=552",'Plan prihoda za unos u SAP'!$K$3:$K$500,"=683")</f>
        <v>0</v>
      </c>
      <c r="M104" s="186">
        <f>SUMIFS('Plan prihoda za unos u SAP'!$I$3:$I$500,'Plan prihoda za unos u SAP'!$C$3:$C$500,"=559",'Plan prihoda za unos u SAP'!$K$3:$K$500,"=683")</f>
        <v>0</v>
      </c>
      <c r="N104" s="186">
        <f>SUMIFS('Plan prihoda za unos u SAP'!$I$3:$I$500,'Plan prihoda za unos u SAP'!$C$3:$C$500,"=561",'Plan prihoda za unos u SAP'!$K$3:$K$500,"=683")</f>
        <v>0</v>
      </c>
      <c r="O104" s="186">
        <f>SUMIFS('Plan prihoda za unos u SAP'!$I$3:$I$500,'Plan prihoda za unos u SAP'!$C$3:$C$500,"=563",'Plan prihoda za unos u SAP'!$K$3:$K$500,"=683")</f>
        <v>0</v>
      </c>
      <c r="P104" s="186">
        <f>SUMIFS('Plan prihoda za unos u SAP'!$I$3:$I$500,'Plan prihoda za unos u SAP'!$C$3:$C$500,"=573",'Plan prihoda za unos u SAP'!$K$3:$K$500,"=683")</f>
        <v>0</v>
      </c>
      <c r="Q104" s="186">
        <f>SUMIFS('Plan prihoda za unos u SAP'!$I$3:$I$500,'Plan prihoda za unos u SAP'!$C$3:$C$500,"=575",'Plan prihoda za unos u SAP'!$K$3:$K$500,"=683")</f>
        <v>0</v>
      </c>
      <c r="R104" s="186">
        <f>SUMIFS('Plan prihoda za unos u SAP'!$I$3:$I$500,'Plan prihoda za unos u SAP'!$C$3:$C$500,"=576",'Plan prihoda za unos u SAP'!$K$3:$K$500,"=683")</f>
        <v>0</v>
      </c>
      <c r="S104" s="186">
        <f>SUMIFS('Plan prihoda za unos u SAP'!$I$3:$I$500,'Plan prihoda za unos u SAP'!$C$3:$C$500,"=581",'Plan prihoda za unos u SAP'!$K$3:$K$500,"=683")</f>
        <v>0</v>
      </c>
      <c r="T104" s="186">
        <f>SUMIFS('Plan prihoda za unos u SAP'!$I$3:$I$500,'Plan prihoda za unos u SAP'!$C$3:$C$500,"=61",'Plan prihoda za unos u SAP'!$K$3:$K$500,"=683")</f>
        <v>0</v>
      </c>
      <c r="U104" s="186">
        <f>SUMIFS('Plan prihoda za unos u SAP'!$I$3:$I$500,'Plan prihoda za unos u SAP'!$C$3:$C$500,"=63",'Plan prihoda za unos u SAP'!$K$3:$K$500,"=683")</f>
        <v>0</v>
      </c>
      <c r="V104" s="186">
        <f>SUMIFS('Plan prihoda za unos u SAP'!$I$3:$I$500,'Plan prihoda za unos u SAP'!$C$3:$C$500,"=71",'Plan prihoda za unos u SAP'!$K$3:$K$500,"=683")</f>
        <v>0</v>
      </c>
      <c r="W104" s="186">
        <f>SUMIFS('Plan prihoda za unos u SAP'!$I$3:$I$500,'Plan prihoda za unos u SAP'!$C$3:$C$500,"=81",'Plan prihoda za unos u SAP'!$K$3:$K$500,"=683")</f>
        <v>0</v>
      </c>
    </row>
    <row r="105" spans="1:23" s="90" customFormat="1">
      <c r="A105" s="90">
        <v>2023</v>
      </c>
      <c r="B105" s="98" t="s">
        <v>298</v>
      </c>
      <c r="C105" s="99" t="s">
        <v>299</v>
      </c>
      <c r="D105" s="70">
        <f t="shared" si="21"/>
        <v>36994109.384424858</v>
      </c>
      <c r="E105" s="4">
        <f>SUM(E89:E104)</f>
        <v>7567779.3844248569</v>
      </c>
      <c r="F105" s="4">
        <f t="shared" ref="F105:W105" si="27">SUM(F89:F104)</f>
        <v>245277</v>
      </c>
      <c r="G105" s="4">
        <f t="shared" si="27"/>
        <v>3857000</v>
      </c>
      <c r="H105" s="4">
        <f t="shared" si="27"/>
        <v>0</v>
      </c>
      <c r="I105" s="4">
        <f t="shared" si="27"/>
        <v>0</v>
      </c>
      <c r="J105" s="4">
        <f t="shared" si="27"/>
        <v>1229689</v>
      </c>
      <c r="K105" s="4">
        <f t="shared" si="27"/>
        <v>22730516</v>
      </c>
      <c r="L105" s="4">
        <f t="shared" si="27"/>
        <v>0</v>
      </c>
      <c r="M105" s="4">
        <f t="shared" si="27"/>
        <v>0</v>
      </c>
      <c r="N105" s="4">
        <f t="shared" si="27"/>
        <v>866941</v>
      </c>
      <c r="O105" s="4">
        <f t="shared" si="27"/>
        <v>-196000</v>
      </c>
      <c r="P105" s="4">
        <f t="shared" si="27"/>
        <v>0</v>
      </c>
      <c r="Q105" s="4">
        <f t="shared" si="27"/>
        <v>0</v>
      </c>
      <c r="R105" s="4">
        <f t="shared" ref="R105" si="28">SUM(R89:R104)</f>
        <v>0</v>
      </c>
      <c r="S105" s="4">
        <f>SUM(S89:S104)</f>
        <v>0</v>
      </c>
      <c r="T105" s="4">
        <f t="shared" si="27"/>
        <v>692907</v>
      </c>
      <c r="U105" s="4">
        <f t="shared" si="27"/>
        <v>0</v>
      </c>
      <c r="V105" s="4">
        <f t="shared" si="27"/>
        <v>0</v>
      </c>
      <c r="W105" s="4">
        <f t="shared" si="27"/>
        <v>0</v>
      </c>
    </row>
    <row r="106" spans="1:23" s="90" customFormat="1">
      <c r="A106" s="90">
        <v>2023</v>
      </c>
      <c r="B106" s="95" t="s">
        <v>310</v>
      </c>
      <c r="C106" s="100" t="s">
        <v>311</v>
      </c>
      <c r="D106" s="70">
        <f t="shared" si="21"/>
        <v>0</v>
      </c>
      <c r="E106" s="186">
        <f>SUMIFS('Plan prihoda za unos u SAP'!$I$3:$I$500,'Plan prihoda za unos u SAP'!$C$3:$C$500,"=11",'Plan prihoda za unos u SAP'!$K$3:$K$500,"=711")</f>
        <v>0</v>
      </c>
      <c r="F106" s="186">
        <f>SUMIFS('Plan prihoda za unos u SAP'!$I$3:$I$500,'Plan prihoda za unos u SAP'!$C$3:$C$500,"=12",'Plan prihoda za unos u SAP'!$K$3:$K$500,"=711")</f>
        <v>0</v>
      </c>
      <c r="G106" s="186">
        <f>SUMIFS('Plan prihoda za unos u SAP'!$I$3:$I$500,'Plan prihoda za unos u SAP'!$C$3:$C$500,"=31",'Plan prihoda za unos u SAP'!$K$3:$K$500,"=711")</f>
        <v>0</v>
      </c>
      <c r="H106" s="186">
        <f>SUMIFS('Plan prihoda za unos u SAP'!$I$3:$I$500,'Plan prihoda za unos u SAP'!$C$3:$C$500,"=41",'Plan prihoda za unos u SAP'!$K$3:$K$500,"=711")</f>
        <v>0</v>
      </c>
      <c r="I106" s="186">
        <f>SUMIFS('Plan prihoda za unos u SAP'!$I$3:$I$500,'Plan prihoda za unos u SAP'!$C$3:$C$500,"=43",'Plan prihoda za unos u SAP'!$K$3:$K$500,"=711")</f>
        <v>0</v>
      </c>
      <c r="J106" s="186">
        <f>SUMIFS('Plan prihoda za unos u SAP'!$I$3:$I$500,'Plan prihoda za unos u SAP'!$C$3:$C$500,"=51",'Plan prihoda za unos u SAP'!$K$3:$K$500,"=711")</f>
        <v>0</v>
      </c>
      <c r="K106" s="186">
        <f>SUMIFS('Plan prihoda za unos u SAP'!$I$3:$I$500,'Plan prihoda za unos u SAP'!$C$3:$C$500,"=52",'Plan prihoda za unos u SAP'!$K$3:$K$500,"=711")</f>
        <v>0</v>
      </c>
      <c r="L106" s="186">
        <f>SUMIFS('Plan prihoda za unos u SAP'!$I$3:$I$500,'Plan prihoda za unos u SAP'!$C$3:$C$500,"=552",'Plan prihoda za unos u SAP'!$K$3:$K$500,"=711")</f>
        <v>0</v>
      </c>
      <c r="M106" s="186">
        <f>SUMIFS('Plan prihoda za unos u SAP'!$I$3:$I$500,'Plan prihoda za unos u SAP'!$C$3:$C$500,"=559",'Plan prihoda za unos u SAP'!$K$3:$K$500,"=711")</f>
        <v>0</v>
      </c>
      <c r="N106" s="186">
        <f>SUMIFS('Plan prihoda za unos u SAP'!$I$3:$I$500,'Plan prihoda za unos u SAP'!$C$3:$C$500,"=561",'Plan prihoda za unos u SAP'!$K$3:$K$500,"=711")</f>
        <v>0</v>
      </c>
      <c r="O106" s="186">
        <f>SUMIFS('Plan prihoda za unos u SAP'!$I$3:$I$500,'Plan prihoda za unos u SAP'!$C$3:$C$500,"=563",'Plan prihoda za unos u SAP'!$K$3:$K$500,"=711")</f>
        <v>0</v>
      </c>
      <c r="P106" s="186">
        <f>SUMIFS('Plan prihoda za unos u SAP'!$I$3:$I$500,'Plan prihoda za unos u SAP'!$C$3:$C$500,"=573",'Plan prihoda za unos u SAP'!$K$3:$K$500,"=711")</f>
        <v>0</v>
      </c>
      <c r="Q106" s="186">
        <f>SUMIFS('Plan prihoda za unos u SAP'!$I$3:$I$500,'Plan prihoda za unos u SAP'!$C$3:$C$500,"=575",'Plan prihoda za unos u SAP'!$K$3:$K$500,"=711")</f>
        <v>0</v>
      </c>
      <c r="R106" s="186">
        <f>SUMIFS('Plan prihoda za unos u SAP'!$I$3:$I$500,'Plan prihoda za unos u SAP'!$C$3:$C$500,"=576",'Plan prihoda za unos u SAP'!$K$3:$K$500,"=711")</f>
        <v>0</v>
      </c>
      <c r="S106" s="186">
        <f>SUMIFS('Plan prihoda za unos u SAP'!$I$3:$I$500,'Plan prihoda za unos u SAP'!$C$3:$C$500,"=581",'Plan prihoda za unos u SAP'!$K$3:$K$500,"=711")</f>
        <v>0</v>
      </c>
      <c r="T106" s="186">
        <f>SUMIFS('Plan prihoda za unos u SAP'!$I$3:$I$500,'Plan prihoda za unos u SAP'!$C$3:$C$500,"=61",'Plan prihoda za unos u SAP'!$K$3:$K$500,"=711")</f>
        <v>0</v>
      </c>
      <c r="U106" s="186">
        <f>SUMIFS('Plan prihoda za unos u SAP'!$I$3:$I$500,'Plan prihoda za unos u SAP'!$C$3:$C$500,"=63",'Plan prihoda za unos u SAP'!$K$3:$K$500,"=711")</f>
        <v>0</v>
      </c>
      <c r="V106" s="186">
        <f>SUMIFS('Plan prihoda za unos u SAP'!$I$3:$I$500,'Plan prihoda za unos u SAP'!$C$3:$C$500,"=71",'Plan prihoda za unos u SAP'!$K$3:$K$500,"=711")</f>
        <v>0</v>
      </c>
      <c r="W106" s="186">
        <f>SUMIFS('Plan prihoda za unos u SAP'!$I$3:$I$500,'Plan prihoda za unos u SAP'!$C$3:$C$500,"=81",'Plan prihoda za unos u SAP'!$K$3:$K$500,"=711")</f>
        <v>0</v>
      </c>
    </row>
    <row r="107" spans="1:23" s="90" customFormat="1">
      <c r="A107" s="90">
        <v>2023</v>
      </c>
      <c r="B107" s="95" t="s">
        <v>312</v>
      </c>
      <c r="C107" s="100" t="s">
        <v>313</v>
      </c>
      <c r="D107" s="70">
        <f t="shared" si="21"/>
        <v>0</v>
      </c>
      <c r="E107" s="186">
        <f>SUMIFS('Plan prihoda za unos u SAP'!$I$3:$I$500,'Plan prihoda za unos u SAP'!$C$3:$C$500,"=11",'Plan prihoda za unos u SAP'!$K$3:$K$500,"=712")</f>
        <v>0</v>
      </c>
      <c r="F107" s="186">
        <f>SUMIFS('Plan prihoda za unos u SAP'!$I$3:$I$500,'Plan prihoda za unos u SAP'!$C$3:$C$500,"=12",'Plan prihoda za unos u SAP'!$K$3:$K$500,"=712")</f>
        <v>0</v>
      </c>
      <c r="G107" s="186">
        <f>SUMIFS('Plan prihoda za unos u SAP'!$I$3:$I$500,'Plan prihoda za unos u SAP'!$C$3:$C$500,"=31",'Plan prihoda za unos u SAP'!$K$3:$K$500,"=712")</f>
        <v>0</v>
      </c>
      <c r="H107" s="186">
        <f>SUMIFS('Plan prihoda za unos u SAP'!$I$3:$I$500,'Plan prihoda za unos u SAP'!$C$3:$C$500,"=41",'Plan prihoda za unos u SAP'!$K$3:$K$500,"=712")</f>
        <v>0</v>
      </c>
      <c r="I107" s="186">
        <f>SUMIFS('Plan prihoda za unos u SAP'!$I$3:$I$500,'Plan prihoda za unos u SAP'!$C$3:$C$500,"=43",'Plan prihoda za unos u SAP'!$K$3:$K$500,"=712")</f>
        <v>0</v>
      </c>
      <c r="J107" s="186">
        <f>SUMIFS('Plan prihoda za unos u SAP'!$I$3:$I$500,'Plan prihoda za unos u SAP'!$C$3:$C$500,"=51",'Plan prihoda za unos u SAP'!$K$3:$K$500,"=712")</f>
        <v>0</v>
      </c>
      <c r="K107" s="186">
        <f>SUMIFS('Plan prihoda za unos u SAP'!$I$3:$I$500,'Plan prihoda za unos u SAP'!$C$3:$C$500,"=52",'Plan prihoda za unos u SAP'!$K$3:$K$500,"=712")</f>
        <v>0</v>
      </c>
      <c r="L107" s="186">
        <f>SUMIFS('Plan prihoda za unos u SAP'!$I$3:$I$500,'Plan prihoda za unos u SAP'!$C$3:$C$500,"=552",'Plan prihoda za unos u SAP'!$K$3:$K$500,"=712")</f>
        <v>0</v>
      </c>
      <c r="M107" s="186">
        <f>SUMIFS('Plan prihoda za unos u SAP'!$I$3:$I$500,'Plan prihoda za unos u SAP'!$C$3:$C$500,"=559",'Plan prihoda za unos u SAP'!$K$3:$K$500,"=712")</f>
        <v>0</v>
      </c>
      <c r="N107" s="186">
        <f>SUMIFS('Plan prihoda za unos u SAP'!$I$3:$I$500,'Plan prihoda za unos u SAP'!$C$3:$C$500,"=561",'Plan prihoda za unos u SAP'!$K$3:$K$500,"=712")</f>
        <v>0</v>
      </c>
      <c r="O107" s="186">
        <f>SUMIFS('Plan prihoda za unos u SAP'!$I$3:$I$500,'Plan prihoda za unos u SAP'!$C$3:$C$500,"=563",'Plan prihoda za unos u SAP'!$K$3:$K$500,"=712")</f>
        <v>0</v>
      </c>
      <c r="P107" s="186">
        <f>SUMIFS('Plan prihoda za unos u SAP'!$I$3:$I$500,'Plan prihoda za unos u SAP'!$C$3:$C$500,"=573",'Plan prihoda za unos u SAP'!$K$3:$K$500,"=712")</f>
        <v>0</v>
      </c>
      <c r="Q107" s="186">
        <f>SUMIFS('Plan prihoda za unos u SAP'!$I$3:$I$500,'Plan prihoda za unos u SAP'!$C$3:$C$500,"=575",'Plan prihoda za unos u SAP'!$K$3:$K$500,"=712")</f>
        <v>0</v>
      </c>
      <c r="R107" s="186">
        <f>SUMIFS('Plan prihoda za unos u SAP'!$I$3:$I$500,'Plan prihoda za unos u SAP'!$C$3:$C$500,"=576",'Plan prihoda za unos u SAP'!$K$3:$K$500,"=712")</f>
        <v>0</v>
      </c>
      <c r="S107" s="186">
        <f>SUMIFS('Plan prihoda za unos u SAP'!$I$3:$I$500,'Plan prihoda za unos u SAP'!$C$3:$C$500,"=581",'Plan prihoda za unos u SAP'!$K$3:$K$500,"=712")</f>
        <v>0</v>
      </c>
      <c r="T107" s="186">
        <f>SUMIFS('Plan prihoda za unos u SAP'!$I$3:$I$500,'Plan prihoda za unos u SAP'!$C$3:$C$500,"=61",'Plan prihoda za unos u SAP'!$K$3:$K$500,"=712")</f>
        <v>0</v>
      </c>
      <c r="U107" s="186">
        <f>SUMIFS('Plan prihoda za unos u SAP'!$I$3:$I$500,'Plan prihoda za unos u SAP'!$C$3:$C$500,"=63",'Plan prihoda za unos u SAP'!$K$3:$K$500,"=712")</f>
        <v>0</v>
      </c>
      <c r="V107" s="186">
        <f>SUMIFS('Plan prihoda za unos u SAP'!$I$3:$I$500,'Plan prihoda za unos u SAP'!$C$3:$C$500,"=71",'Plan prihoda za unos u SAP'!$K$3:$K$500,"=712")</f>
        <v>0</v>
      </c>
      <c r="W107" s="186">
        <f>SUMIFS('Plan prihoda za unos u SAP'!$I$3:$I$500,'Plan prihoda za unos u SAP'!$C$3:$C$500,"=81",'Plan prihoda za unos u SAP'!$K$3:$K$500,"=712")</f>
        <v>0</v>
      </c>
    </row>
    <row r="108" spans="1:23" s="90" customFormat="1">
      <c r="A108" s="90">
        <v>2023</v>
      </c>
      <c r="B108" s="95" t="s">
        <v>300</v>
      </c>
      <c r="C108" s="100" t="s">
        <v>301</v>
      </c>
      <c r="D108" s="70">
        <f t="shared" si="21"/>
        <v>0</v>
      </c>
      <c r="E108" s="186">
        <f>SUMIFS('Plan prihoda za unos u SAP'!$I$3:$I$500,'Plan prihoda za unos u SAP'!$C$3:$C$500,"=11",'Plan prihoda za unos u SAP'!$K$3:$K$500,"=721")</f>
        <v>0</v>
      </c>
      <c r="F108" s="186">
        <f>SUMIFS('Plan prihoda za unos u SAP'!$I$3:$I$500,'Plan prihoda za unos u SAP'!$C$3:$C$500,"=12",'Plan prihoda za unos u SAP'!$K$3:$K$500,"=721")</f>
        <v>0</v>
      </c>
      <c r="G108" s="186">
        <f>SUMIFS('Plan prihoda za unos u SAP'!$I$3:$I$500,'Plan prihoda za unos u SAP'!$C$3:$C$500,"=31",'Plan prihoda za unos u SAP'!$K$3:$K$500,"=721")</f>
        <v>0</v>
      </c>
      <c r="H108" s="186">
        <f>SUMIFS('Plan prihoda za unos u SAP'!$I$3:$I$500,'Plan prihoda za unos u SAP'!$C$3:$C$500,"=41",'Plan prihoda za unos u SAP'!$K$3:$K$500,"=721")</f>
        <v>0</v>
      </c>
      <c r="I108" s="186">
        <f>SUMIFS('Plan prihoda za unos u SAP'!$I$3:$I$500,'Plan prihoda za unos u SAP'!$C$3:$C$500,"=43",'Plan prihoda za unos u SAP'!$K$3:$K$500,"=721")</f>
        <v>0</v>
      </c>
      <c r="J108" s="186">
        <f>SUMIFS('Plan prihoda za unos u SAP'!$I$3:$I$500,'Plan prihoda za unos u SAP'!$C$3:$C$500,"=51",'Plan prihoda za unos u SAP'!$K$3:$K$500,"=721")</f>
        <v>0</v>
      </c>
      <c r="K108" s="186">
        <f>SUMIFS('Plan prihoda za unos u SAP'!$I$3:$I$500,'Plan prihoda za unos u SAP'!$C$3:$C$500,"=52",'Plan prihoda za unos u SAP'!$K$3:$K$500,"=721")</f>
        <v>0</v>
      </c>
      <c r="L108" s="186">
        <f>SUMIFS('Plan prihoda za unos u SAP'!$I$3:$I$500,'Plan prihoda za unos u SAP'!$C$3:$C$500,"=552",'Plan prihoda za unos u SAP'!$K$3:$K$500,"=721")</f>
        <v>0</v>
      </c>
      <c r="M108" s="186">
        <f>SUMIFS('Plan prihoda za unos u SAP'!$I$3:$I$500,'Plan prihoda za unos u SAP'!$C$3:$C$500,"=559",'Plan prihoda za unos u SAP'!$K$3:$K$500,"=721")</f>
        <v>0</v>
      </c>
      <c r="N108" s="186">
        <f>SUMIFS('Plan prihoda za unos u SAP'!$I$3:$I$500,'Plan prihoda za unos u SAP'!$C$3:$C$500,"=561",'Plan prihoda za unos u SAP'!$K$3:$K$500,"=721")</f>
        <v>0</v>
      </c>
      <c r="O108" s="186">
        <f>SUMIFS('Plan prihoda za unos u SAP'!$I$3:$I$500,'Plan prihoda za unos u SAP'!$C$3:$C$500,"=563",'Plan prihoda za unos u SAP'!$K$3:$K$500,"=721")</f>
        <v>0</v>
      </c>
      <c r="P108" s="186">
        <f>SUMIFS('Plan prihoda za unos u SAP'!$I$3:$I$500,'Plan prihoda za unos u SAP'!$C$3:$C$500,"=573",'Plan prihoda za unos u SAP'!$K$3:$K$500,"=721")</f>
        <v>0</v>
      </c>
      <c r="Q108" s="186">
        <f>SUMIFS('Plan prihoda za unos u SAP'!$I$3:$I$500,'Plan prihoda za unos u SAP'!$C$3:$C$500,"=575",'Plan prihoda za unos u SAP'!$K$3:$K$500,"=721")</f>
        <v>0</v>
      </c>
      <c r="R108" s="186">
        <f>SUMIFS('Plan prihoda za unos u SAP'!$I$3:$I$500,'Plan prihoda za unos u SAP'!$C$3:$C$500,"=576",'Plan prihoda za unos u SAP'!$K$3:$K$500,"=721")</f>
        <v>0</v>
      </c>
      <c r="S108" s="186">
        <f>SUMIFS('Plan prihoda za unos u SAP'!$I$3:$I$500,'Plan prihoda za unos u SAP'!$C$3:$C$500,"=581",'Plan prihoda za unos u SAP'!$K$3:$K$500,"=721")</f>
        <v>0</v>
      </c>
      <c r="T108" s="186">
        <f>SUMIFS('Plan prihoda za unos u SAP'!$I$3:$I$500,'Plan prihoda za unos u SAP'!$C$3:$C$500,"=61",'Plan prihoda za unos u SAP'!$K$3:$K$500,"=721")</f>
        <v>0</v>
      </c>
      <c r="U108" s="186">
        <f>SUMIFS('Plan prihoda za unos u SAP'!$I$3:$I$500,'Plan prihoda za unos u SAP'!$C$3:$C$500,"=63",'Plan prihoda za unos u SAP'!$K$3:$K$500,"=721")</f>
        <v>0</v>
      </c>
      <c r="V108" s="186">
        <f>SUMIFS('Plan prihoda za unos u SAP'!$I$3:$I$500,'Plan prihoda za unos u SAP'!$C$3:$C$500,"=71",'Plan prihoda za unos u SAP'!$K$3:$K$500,"=721")</f>
        <v>0</v>
      </c>
      <c r="W108" s="186">
        <f>SUMIFS('Plan prihoda za unos u SAP'!$I$3:$I$500,'Plan prihoda za unos u SAP'!$C$3:$C$500,"=81",'Plan prihoda za unos u SAP'!$K$3:$K$500,"=721")</f>
        <v>0</v>
      </c>
    </row>
    <row r="109" spans="1:23" s="90" customFormat="1">
      <c r="A109" s="90">
        <v>2023</v>
      </c>
      <c r="B109" s="95" t="s">
        <v>302</v>
      </c>
      <c r="C109" s="100" t="s">
        <v>303</v>
      </c>
      <c r="D109" s="70">
        <f t="shared" si="21"/>
        <v>0</v>
      </c>
      <c r="E109" s="186">
        <f>SUMIFS('Plan prihoda za unos u SAP'!$I$3:$I$500,'Plan prihoda za unos u SAP'!$C$3:$C$500,"=11",'Plan prihoda za unos u SAP'!$K$3:$K$500,"=722")</f>
        <v>0</v>
      </c>
      <c r="F109" s="186">
        <f>SUMIFS('Plan prihoda za unos u SAP'!$I$3:$I$500,'Plan prihoda za unos u SAP'!$C$3:$C$500,"=12",'Plan prihoda za unos u SAP'!$K$3:$K$500,"=722")</f>
        <v>0</v>
      </c>
      <c r="G109" s="186">
        <f>SUMIFS('Plan prihoda za unos u SAP'!$I$3:$I$500,'Plan prihoda za unos u SAP'!$C$3:$C$500,"=31",'Plan prihoda za unos u SAP'!$K$3:$K$500,"=722")</f>
        <v>0</v>
      </c>
      <c r="H109" s="186">
        <f>SUMIFS('Plan prihoda za unos u SAP'!$I$3:$I$500,'Plan prihoda za unos u SAP'!$C$3:$C$500,"=41",'Plan prihoda za unos u SAP'!$K$3:$K$500,"=722")</f>
        <v>0</v>
      </c>
      <c r="I109" s="186">
        <f>SUMIFS('Plan prihoda za unos u SAP'!$I$3:$I$500,'Plan prihoda za unos u SAP'!$C$3:$C$500,"=43",'Plan prihoda za unos u SAP'!$K$3:$K$500,"=722")</f>
        <v>0</v>
      </c>
      <c r="J109" s="186">
        <f>SUMIFS('Plan prihoda za unos u SAP'!$I$3:$I$500,'Plan prihoda za unos u SAP'!$C$3:$C$500,"=51",'Plan prihoda za unos u SAP'!$K$3:$K$500,"=722")</f>
        <v>0</v>
      </c>
      <c r="K109" s="186">
        <f>SUMIFS('Plan prihoda za unos u SAP'!$I$3:$I$500,'Plan prihoda za unos u SAP'!$C$3:$C$500,"=52",'Plan prihoda za unos u SAP'!$K$3:$K$500,"=722")</f>
        <v>0</v>
      </c>
      <c r="L109" s="186">
        <f>SUMIFS('Plan prihoda za unos u SAP'!$I$3:$I$500,'Plan prihoda za unos u SAP'!$C$3:$C$500,"=552",'Plan prihoda za unos u SAP'!$K$3:$K$500,"=722")</f>
        <v>0</v>
      </c>
      <c r="M109" s="186">
        <f>SUMIFS('Plan prihoda za unos u SAP'!$I$3:$I$500,'Plan prihoda za unos u SAP'!$C$3:$C$500,"=559",'Plan prihoda za unos u SAP'!$K$3:$K$500,"=722")</f>
        <v>0</v>
      </c>
      <c r="N109" s="186">
        <f>SUMIFS('Plan prihoda za unos u SAP'!$I$3:$I$500,'Plan prihoda za unos u SAP'!$C$3:$C$500,"=561",'Plan prihoda za unos u SAP'!$K$3:$K$500,"=722")</f>
        <v>0</v>
      </c>
      <c r="O109" s="186">
        <f>SUMIFS('Plan prihoda za unos u SAP'!$I$3:$I$500,'Plan prihoda za unos u SAP'!$C$3:$C$500,"=563",'Plan prihoda za unos u SAP'!$K$3:$K$500,"=722")</f>
        <v>0</v>
      </c>
      <c r="P109" s="186">
        <f>SUMIFS('Plan prihoda za unos u SAP'!$I$3:$I$500,'Plan prihoda za unos u SAP'!$C$3:$C$500,"=573",'Plan prihoda za unos u SAP'!$K$3:$K$500,"=722")</f>
        <v>0</v>
      </c>
      <c r="Q109" s="186">
        <f>SUMIFS('Plan prihoda za unos u SAP'!$I$3:$I$500,'Plan prihoda za unos u SAP'!$C$3:$C$500,"=575",'Plan prihoda za unos u SAP'!$K$3:$K$500,"=722")</f>
        <v>0</v>
      </c>
      <c r="R109" s="186">
        <f>SUMIFS('Plan prihoda za unos u SAP'!$I$3:$I$500,'Plan prihoda za unos u SAP'!$C$3:$C$500,"=576",'Plan prihoda za unos u SAP'!$K$3:$K$500,"=722")</f>
        <v>0</v>
      </c>
      <c r="S109" s="186">
        <f>SUMIFS('Plan prihoda za unos u SAP'!$I$3:$I$500,'Plan prihoda za unos u SAP'!$C$3:$C$500,"=581",'Plan prihoda za unos u SAP'!$K$3:$K$500,"=722")</f>
        <v>0</v>
      </c>
      <c r="T109" s="186">
        <f>SUMIFS('Plan prihoda za unos u SAP'!$I$3:$I$500,'Plan prihoda za unos u SAP'!$C$3:$C$500,"=61",'Plan prihoda za unos u SAP'!$K$3:$K$500,"=722")</f>
        <v>0</v>
      </c>
      <c r="U109" s="186">
        <f>SUMIFS('Plan prihoda za unos u SAP'!$I$3:$I$500,'Plan prihoda za unos u SAP'!$C$3:$C$500,"=63",'Plan prihoda za unos u SAP'!$K$3:$K$500,"=722")</f>
        <v>0</v>
      </c>
      <c r="V109" s="186">
        <f>SUMIFS('Plan prihoda za unos u SAP'!$I$3:$I$500,'Plan prihoda za unos u SAP'!$C$3:$C$500,"=71",'Plan prihoda za unos u SAP'!$K$3:$K$500,"=722")</f>
        <v>0</v>
      </c>
      <c r="W109" s="186">
        <f>SUMIFS('Plan prihoda za unos u SAP'!$I$3:$I$500,'Plan prihoda za unos u SAP'!$C$3:$C$500,"=81",'Plan prihoda za unos u SAP'!$K$3:$K$500,"=722")</f>
        <v>0</v>
      </c>
    </row>
    <row r="110" spans="1:23" s="90" customFormat="1">
      <c r="A110" s="90">
        <v>2023</v>
      </c>
      <c r="B110" s="95" t="s">
        <v>304</v>
      </c>
      <c r="C110" s="100" t="s">
        <v>305</v>
      </c>
      <c r="D110" s="70">
        <f t="shared" si="21"/>
        <v>-10000</v>
      </c>
      <c r="E110" s="186">
        <f>SUMIFS('Plan prihoda za unos u SAP'!$I$3:$I$500,'Plan prihoda za unos u SAP'!$C$3:$C$500,"=11",'Plan prihoda za unos u SAP'!$K$3:$K$500,"=723")</f>
        <v>0</v>
      </c>
      <c r="F110" s="186">
        <f>SUMIFS('Plan prihoda za unos u SAP'!$I$3:$I$500,'Plan prihoda za unos u SAP'!$C$3:$C$500,"=12",'Plan prihoda za unos u SAP'!$K$3:$K$500,"=723")</f>
        <v>0</v>
      </c>
      <c r="G110" s="186">
        <f>SUMIFS('Plan prihoda za unos u SAP'!$I$3:$I$500,'Plan prihoda za unos u SAP'!$C$3:$C$500,"=31",'Plan prihoda za unos u SAP'!$K$3:$K$500,"=723")</f>
        <v>0</v>
      </c>
      <c r="H110" s="186">
        <f>SUMIFS('Plan prihoda za unos u SAP'!$I$3:$I$500,'Plan prihoda za unos u SAP'!$C$3:$C$500,"=41",'Plan prihoda za unos u SAP'!$K$3:$K$500,"=723")</f>
        <v>0</v>
      </c>
      <c r="I110" s="186">
        <f>SUMIFS('Plan prihoda za unos u SAP'!$I$3:$I$500,'Plan prihoda za unos u SAP'!$C$3:$C$500,"=43",'Plan prihoda za unos u SAP'!$K$3:$K$500,"=723")</f>
        <v>0</v>
      </c>
      <c r="J110" s="186">
        <f>SUMIFS('Plan prihoda za unos u SAP'!$I$3:$I$500,'Plan prihoda za unos u SAP'!$C$3:$C$500,"=51",'Plan prihoda za unos u SAP'!$K$3:$K$500,"=723")</f>
        <v>0</v>
      </c>
      <c r="K110" s="186">
        <f>SUMIFS('Plan prihoda za unos u SAP'!$I$3:$I$500,'Plan prihoda za unos u SAP'!$C$3:$C$500,"=52",'Plan prihoda za unos u SAP'!$K$3:$K$500,"=723")</f>
        <v>0</v>
      </c>
      <c r="L110" s="186">
        <f>SUMIFS('Plan prihoda za unos u SAP'!$I$3:$I$500,'Plan prihoda za unos u SAP'!$C$3:$C$500,"=552",'Plan prihoda za unos u SAP'!$K$3:$K$500,"=723")</f>
        <v>0</v>
      </c>
      <c r="M110" s="186">
        <f>SUMIFS('Plan prihoda za unos u SAP'!$I$3:$I$500,'Plan prihoda za unos u SAP'!$C$3:$C$500,"=559",'Plan prihoda za unos u SAP'!$K$3:$K$500,"=723")</f>
        <v>0</v>
      </c>
      <c r="N110" s="186">
        <f>SUMIFS('Plan prihoda za unos u SAP'!$I$3:$I$500,'Plan prihoda za unos u SAP'!$C$3:$C$500,"=561",'Plan prihoda za unos u SAP'!$K$3:$K$500,"=723")</f>
        <v>0</v>
      </c>
      <c r="O110" s="186">
        <f>SUMIFS('Plan prihoda za unos u SAP'!$I$3:$I$500,'Plan prihoda za unos u SAP'!$C$3:$C$500,"=563",'Plan prihoda za unos u SAP'!$K$3:$K$500,"=723")</f>
        <v>0</v>
      </c>
      <c r="P110" s="186">
        <f>SUMIFS('Plan prihoda za unos u SAP'!$I$3:$I$500,'Plan prihoda za unos u SAP'!$C$3:$C$500,"=573",'Plan prihoda za unos u SAP'!$K$3:$K$500,"=723")</f>
        <v>0</v>
      </c>
      <c r="Q110" s="186">
        <f>SUMIFS('Plan prihoda za unos u SAP'!$I$3:$I$500,'Plan prihoda za unos u SAP'!$C$3:$C$500,"=575",'Plan prihoda za unos u SAP'!$K$3:$K$500,"=723")</f>
        <v>0</v>
      </c>
      <c r="R110" s="186">
        <f>SUMIFS('Plan prihoda za unos u SAP'!$I$3:$I$500,'Plan prihoda za unos u SAP'!$C$3:$C$500,"=576",'Plan prihoda za unos u SAP'!$K$3:$K$500,"=723")</f>
        <v>0</v>
      </c>
      <c r="S110" s="186">
        <f>SUMIFS('Plan prihoda za unos u SAP'!$I$3:$I$500,'Plan prihoda za unos u SAP'!$C$3:$C$500,"=581",'Plan prihoda za unos u SAP'!$K$3:$K$500,"=723")</f>
        <v>0</v>
      </c>
      <c r="T110" s="186">
        <f>SUMIFS('Plan prihoda za unos u SAP'!$I$3:$I$500,'Plan prihoda za unos u SAP'!$C$3:$C$500,"=61",'Plan prihoda za unos u SAP'!$K$3:$K$500,"=723")</f>
        <v>0</v>
      </c>
      <c r="U110" s="186">
        <f>SUMIFS('Plan prihoda za unos u SAP'!$I$3:$I$500,'Plan prihoda za unos u SAP'!$C$3:$C$500,"=63",'Plan prihoda za unos u SAP'!$K$3:$K$500,"=723")</f>
        <v>0</v>
      </c>
      <c r="V110" s="186">
        <f>SUMIFS('Plan prihoda za unos u SAP'!$I$3:$I$500,'Plan prihoda za unos u SAP'!$C$3:$C$500,"=71",'Plan prihoda za unos u SAP'!$K$3:$K$500,"=723")</f>
        <v>-10000</v>
      </c>
      <c r="W110" s="186">
        <f>SUMIFS('Plan prihoda za unos u SAP'!$I$3:$I$500,'Plan prihoda za unos u SAP'!$C$3:$C$500,"=81",'Plan prihoda za unos u SAP'!$K$3:$K$500,"=723")</f>
        <v>0</v>
      </c>
    </row>
    <row r="111" spans="1:23" s="90" customFormat="1">
      <c r="A111" s="90">
        <v>2023</v>
      </c>
      <c r="B111" s="95" t="s">
        <v>314</v>
      </c>
      <c r="C111" s="100" t="s">
        <v>315</v>
      </c>
      <c r="D111" s="70">
        <f t="shared" si="21"/>
        <v>0</v>
      </c>
      <c r="E111" s="186">
        <f>SUMIFS('Plan prihoda za unos u SAP'!$I$3:$I$500,'Plan prihoda za unos u SAP'!$C$3:$C$500,"=11",'Plan prihoda za unos u SAP'!$K$3:$K$500,"=725")</f>
        <v>0</v>
      </c>
      <c r="F111" s="186">
        <f>SUMIFS('Plan prihoda za unos u SAP'!$I$3:$I$500,'Plan prihoda za unos u SAP'!$C$3:$C$500,"=12",'Plan prihoda za unos u SAP'!$K$3:$K$500,"=725")</f>
        <v>0</v>
      </c>
      <c r="G111" s="186">
        <f>SUMIFS('Plan prihoda za unos u SAP'!$I$3:$I$500,'Plan prihoda za unos u SAP'!$C$3:$C$500,"=31",'Plan prihoda za unos u SAP'!$K$3:$K$500,"=725")</f>
        <v>0</v>
      </c>
      <c r="H111" s="186">
        <f>SUMIFS('Plan prihoda za unos u SAP'!$I$3:$I$500,'Plan prihoda za unos u SAP'!$C$3:$C$500,"=41",'Plan prihoda za unos u SAP'!$K$3:$K$500,"=725")</f>
        <v>0</v>
      </c>
      <c r="I111" s="186">
        <f>SUMIFS('Plan prihoda za unos u SAP'!$I$3:$I$500,'Plan prihoda za unos u SAP'!$C$3:$C$500,"=43",'Plan prihoda za unos u SAP'!$K$3:$K$500,"=725")</f>
        <v>0</v>
      </c>
      <c r="J111" s="186">
        <f>SUMIFS('Plan prihoda za unos u SAP'!$I$3:$I$500,'Plan prihoda za unos u SAP'!$C$3:$C$500,"=51",'Plan prihoda za unos u SAP'!$K$3:$K$500,"=725")</f>
        <v>0</v>
      </c>
      <c r="K111" s="186">
        <f>SUMIFS('Plan prihoda za unos u SAP'!$I$3:$I$500,'Plan prihoda za unos u SAP'!$C$3:$C$500,"=52",'Plan prihoda za unos u SAP'!$K$3:$K$500,"=725")</f>
        <v>0</v>
      </c>
      <c r="L111" s="186">
        <f>SUMIFS('Plan prihoda za unos u SAP'!$I$3:$I$500,'Plan prihoda za unos u SAP'!$C$3:$C$500,"=552",'Plan prihoda za unos u SAP'!$K$3:$K$500,"=725")</f>
        <v>0</v>
      </c>
      <c r="M111" s="186">
        <f>SUMIFS('Plan prihoda za unos u SAP'!$I$3:$I$500,'Plan prihoda za unos u SAP'!$C$3:$C$500,"=559",'Plan prihoda za unos u SAP'!$K$3:$K$500,"=725")</f>
        <v>0</v>
      </c>
      <c r="N111" s="186">
        <f>SUMIFS('Plan prihoda za unos u SAP'!$I$3:$I$500,'Plan prihoda za unos u SAP'!$C$3:$C$500,"=561",'Plan prihoda za unos u SAP'!$K$3:$K$500,"=725")</f>
        <v>0</v>
      </c>
      <c r="O111" s="186">
        <f>SUMIFS('Plan prihoda za unos u SAP'!$I$3:$I$500,'Plan prihoda za unos u SAP'!$C$3:$C$500,"=563",'Plan prihoda za unos u SAP'!$K$3:$K$500,"=725")</f>
        <v>0</v>
      </c>
      <c r="P111" s="186">
        <f>SUMIFS('Plan prihoda za unos u SAP'!$I$3:$I$500,'Plan prihoda za unos u SAP'!$C$3:$C$500,"=573",'Plan prihoda za unos u SAP'!$K$3:$K$500,"=725")</f>
        <v>0</v>
      </c>
      <c r="Q111" s="186">
        <f>SUMIFS('Plan prihoda za unos u SAP'!$I$3:$I$500,'Plan prihoda za unos u SAP'!$C$3:$C$500,"=575",'Plan prihoda za unos u SAP'!$K$3:$K$500,"=725")</f>
        <v>0</v>
      </c>
      <c r="R111" s="186">
        <f>SUMIFS('Plan prihoda za unos u SAP'!$I$3:$I$500,'Plan prihoda za unos u SAP'!$C$3:$C$500,"=576",'Plan prihoda za unos u SAP'!$K$3:$K$500,"=725")</f>
        <v>0</v>
      </c>
      <c r="S111" s="186">
        <f>SUMIFS('Plan prihoda za unos u SAP'!$I$3:$I$500,'Plan prihoda za unos u SAP'!$C$3:$C$500,"=581",'Plan prihoda za unos u SAP'!$K$3:$K$500,"=725")</f>
        <v>0</v>
      </c>
      <c r="T111" s="186">
        <f>SUMIFS('Plan prihoda za unos u SAP'!$I$3:$I$500,'Plan prihoda za unos u SAP'!$C$3:$C$500,"=61",'Plan prihoda za unos u SAP'!$K$3:$K$500,"=725")</f>
        <v>0</v>
      </c>
      <c r="U111" s="186">
        <f>SUMIFS('Plan prihoda za unos u SAP'!$I$3:$I$500,'Plan prihoda za unos u SAP'!$C$3:$C$500,"=63",'Plan prihoda za unos u SAP'!$K$3:$K$500,"=725")</f>
        <v>0</v>
      </c>
      <c r="V111" s="186">
        <f>SUMIFS('Plan prihoda za unos u SAP'!$I$3:$I$500,'Plan prihoda za unos u SAP'!$C$3:$C$500,"=71",'Plan prihoda za unos u SAP'!$K$3:$K$500,"=725")</f>
        <v>0</v>
      </c>
      <c r="W111" s="186">
        <f>SUMIFS('Plan prihoda za unos u SAP'!$I$3:$I$500,'Plan prihoda za unos u SAP'!$C$3:$C$500,"=81",'Plan prihoda za unos u SAP'!$K$3:$K$500,"=725")</f>
        <v>0</v>
      </c>
    </row>
    <row r="112" spans="1:23" s="90" customFormat="1">
      <c r="A112" s="90">
        <v>2023</v>
      </c>
      <c r="B112" s="98" t="s">
        <v>306</v>
      </c>
      <c r="C112" s="99" t="s">
        <v>299</v>
      </c>
      <c r="D112" s="70">
        <f t="shared" si="21"/>
        <v>-10000</v>
      </c>
      <c r="E112" s="4">
        <f t="shared" ref="E112:W112" si="29">SUM(E106:E111)</f>
        <v>0</v>
      </c>
      <c r="F112" s="4">
        <f t="shared" si="29"/>
        <v>0</v>
      </c>
      <c r="G112" s="4">
        <f t="shared" si="29"/>
        <v>0</v>
      </c>
      <c r="H112" s="4">
        <f>SUM(H106:H111)</f>
        <v>0</v>
      </c>
      <c r="I112" s="4">
        <f t="shared" si="29"/>
        <v>0</v>
      </c>
      <c r="J112" s="4">
        <f t="shared" si="29"/>
        <v>0</v>
      </c>
      <c r="K112" s="4">
        <f t="shared" si="29"/>
        <v>0</v>
      </c>
      <c r="L112" s="4">
        <f>SUM(L106:L111)</f>
        <v>0</v>
      </c>
      <c r="M112" s="4">
        <f t="shared" si="29"/>
        <v>0</v>
      </c>
      <c r="N112" s="4">
        <f t="shared" si="29"/>
        <v>0</v>
      </c>
      <c r="O112" s="4">
        <f t="shared" si="29"/>
        <v>0</v>
      </c>
      <c r="P112" s="4">
        <f>SUM(P106:P111)</f>
        <v>0</v>
      </c>
      <c r="Q112" s="4">
        <f>SUM(Q106:Q111)</f>
        <v>0</v>
      </c>
      <c r="R112" s="4">
        <f>SUM(R106:R111)</f>
        <v>0</v>
      </c>
      <c r="S112" s="4">
        <f>SUM(S106:S111)</f>
        <v>0</v>
      </c>
      <c r="T112" s="4">
        <f t="shared" si="29"/>
        <v>0</v>
      </c>
      <c r="U112" s="4">
        <f t="shared" si="29"/>
        <v>0</v>
      </c>
      <c r="V112" s="4">
        <f t="shared" si="29"/>
        <v>-10000</v>
      </c>
      <c r="W112" s="4">
        <f t="shared" si="29"/>
        <v>0</v>
      </c>
    </row>
    <row r="113" spans="1:23" s="90" customFormat="1">
      <c r="A113" s="90">
        <v>2023</v>
      </c>
      <c r="B113" s="101">
        <v>818</v>
      </c>
      <c r="C113" s="102" t="s">
        <v>1374</v>
      </c>
      <c r="D113" s="70">
        <f t="shared" si="21"/>
        <v>0</v>
      </c>
      <c r="E113" s="186">
        <f>SUMIFS('Plan prihoda za unos u SAP'!$I$3:$I$500,'Plan prihoda za unos u SAP'!$C$3:$C$500,"=11",'Plan prihoda za unos u SAP'!$K$3:$K$500,"=818")</f>
        <v>0</v>
      </c>
      <c r="F113" s="186">
        <f>SUMIFS('Plan prihoda za unos u SAP'!$I$3:$I$500,'Plan prihoda za unos u SAP'!$C$3:$C$500,"=12",'Plan prihoda za unos u SAP'!$K$3:$K$500,"=818")</f>
        <v>0</v>
      </c>
      <c r="G113" s="186">
        <f>SUMIFS('Plan prihoda za unos u SAP'!$I$3:$I$500,'Plan prihoda za unos u SAP'!$C$3:$C$500,"=31",'Plan prihoda za unos u SAP'!$K$3:$K$500,"=818")</f>
        <v>0</v>
      </c>
      <c r="H113" s="186">
        <f>SUMIFS('Plan prihoda za unos u SAP'!$I$3:$I$500,'Plan prihoda za unos u SAP'!$C$3:$C$500,"=41",'Plan prihoda za unos u SAP'!$K$3:$K$500,"=818")</f>
        <v>0</v>
      </c>
      <c r="I113" s="186">
        <f>SUMIFS('Plan prihoda za unos u SAP'!$I$3:$I$500,'Plan prihoda za unos u SAP'!$C$3:$C$500,"=43",'Plan prihoda za unos u SAP'!$K$3:$K$500,"=818")</f>
        <v>0</v>
      </c>
      <c r="J113" s="186">
        <f>SUMIFS('Plan prihoda za unos u SAP'!$I$3:$I$500,'Plan prihoda za unos u SAP'!$C$3:$C$500,"=51",'Plan prihoda za unos u SAP'!$K$3:$K$500,"=818")</f>
        <v>0</v>
      </c>
      <c r="K113" s="186">
        <f>SUMIFS('Plan prihoda za unos u SAP'!$I$3:$I$500,'Plan prihoda za unos u SAP'!$C$3:$C$500,"=52",'Plan prihoda za unos u SAP'!$K$3:$K$500,"=818")</f>
        <v>0</v>
      </c>
      <c r="L113" s="186">
        <f>SUMIFS('Plan prihoda za unos u SAP'!$I$3:$I$500,'Plan prihoda za unos u SAP'!$C$3:$C$500,"=552",'Plan prihoda za unos u SAP'!$K$3:$K$500,"=818")</f>
        <v>0</v>
      </c>
      <c r="M113" s="186">
        <f>SUMIFS('Plan prihoda za unos u SAP'!$I$3:$I$500,'Plan prihoda za unos u SAP'!$C$3:$C$500,"=559",'Plan prihoda za unos u SAP'!$K$3:$K$500,"=818")</f>
        <v>0</v>
      </c>
      <c r="N113" s="186">
        <f>SUMIFS('Plan prihoda za unos u SAP'!$I$3:$I$500,'Plan prihoda za unos u SAP'!$C$3:$C$500,"=561",'Plan prihoda za unos u SAP'!$K$3:$K$500,"=818")</f>
        <v>0</v>
      </c>
      <c r="O113" s="186">
        <f>SUMIFS('Plan prihoda za unos u SAP'!$I$3:$I$500,'Plan prihoda za unos u SAP'!$C$3:$C$500,"=563",'Plan prihoda za unos u SAP'!$K$3:$K$500,"=818")</f>
        <v>0</v>
      </c>
      <c r="P113" s="186">
        <f>SUMIFS('Plan prihoda za unos u SAP'!$I$3:$I$500,'Plan prihoda za unos u SAP'!$C$3:$C$500,"=573",'Plan prihoda za unos u SAP'!$K$3:$K$500,"=818")</f>
        <v>0</v>
      </c>
      <c r="Q113" s="186">
        <f>SUMIFS('Plan prihoda za unos u SAP'!$I$3:$I$500,'Plan prihoda za unos u SAP'!$C$3:$C$500,"=575",'Plan prihoda za unos u SAP'!$K$3:$K$500,"=818")</f>
        <v>0</v>
      </c>
      <c r="R113" s="186">
        <f>SUMIFS('Plan prihoda za unos u SAP'!$I$3:$I$500,'Plan prihoda za unos u SAP'!$C$3:$C$500,"=576",'Plan prihoda za unos u SAP'!$K$3:$K$500,"=818")</f>
        <v>0</v>
      </c>
      <c r="S113" s="186">
        <f>SUMIFS('Plan prihoda za unos u SAP'!$I$3:$I$500,'Plan prihoda za unos u SAP'!$C$3:$C$500,"=581",'Plan prihoda za unos u SAP'!$K$3:$K$500,"=818")</f>
        <v>0</v>
      </c>
      <c r="T113" s="186">
        <f>SUMIFS('Plan prihoda za unos u SAP'!$I$3:$I$500,'Plan prihoda za unos u SAP'!$C$3:$C$500,"=61",'Plan prihoda za unos u SAP'!$K$3:$K$500,"=818")</f>
        <v>0</v>
      </c>
      <c r="U113" s="186">
        <f>SUMIFS('Plan prihoda za unos u SAP'!$I$3:$I$500,'Plan prihoda za unos u SAP'!$C$3:$C$500,"=63",'Plan prihoda za unos u SAP'!$K$3:$K$500,"=818")</f>
        <v>0</v>
      </c>
      <c r="V113" s="186">
        <f>SUMIFS('Plan prihoda za unos u SAP'!$I$3:$I$500,'Plan prihoda za unos u SAP'!$C$3:$C$500,"=71",'Plan prihoda za unos u SAP'!$K$3:$K$500,"=818")</f>
        <v>0</v>
      </c>
      <c r="W113" s="186">
        <f>SUMIFS('Plan prihoda za unos u SAP'!$I$3:$I$500,'Plan prihoda za unos u SAP'!$C$3:$C$500,"=81",'Plan prihoda za unos u SAP'!$K$3:$K$500,"=818")</f>
        <v>0</v>
      </c>
    </row>
    <row r="114" spans="1:23" s="90" customFormat="1">
      <c r="A114" s="90">
        <v>2023</v>
      </c>
      <c r="B114" s="101">
        <v>832</v>
      </c>
      <c r="C114" s="102" t="s">
        <v>1375</v>
      </c>
      <c r="D114" s="70">
        <f t="shared" si="21"/>
        <v>0</v>
      </c>
      <c r="E114" s="186">
        <f>SUMIFS('Plan prihoda za unos u SAP'!$I$3:$I$500,'Plan prihoda za unos u SAP'!$C$3:$C$500,"=11",'Plan prihoda za unos u SAP'!$K$3:$K$500,"=832")</f>
        <v>0</v>
      </c>
      <c r="F114" s="186">
        <f>SUMIFS('Plan prihoda za unos u SAP'!$I$3:$I$500,'Plan prihoda za unos u SAP'!$C$3:$C$500,"=12",'Plan prihoda za unos u SAP'!$K$3:$K$500,"=832")</f>
        <v>0</v>
      </c>
      <c r="G114" s="186">
        <f>SUMIFS('Plan prihoda za unos u SAP'!$I$3:$I$500,'Plan prihoda za unos u SAP'!$C$3:$C$500,"=31",'Plan prihoda za unos u SAP'!$K$3:$K$500,"=832")</f>
        <v>0</v>
      </c>
      <c r="H114" s="186">
        <f>SUMIFS('Plan prihoda za unos u SAP'!$I$3:$I$500,'Plan prihoda za unos u SAP'!$C$3:$C$500,"=41",'Plan prihoda za unos u SAP'!$K$3:$K$500,"=832")</f>
        <v>0</v>
      </c>
      <c r="I114" s="186">
        <f>SUMIFS('Plan prihoda za unos u SAP'!$I$3:$I$500,'Plan prihoda za unos u SAP'!$C$3:$C$500,"=43",'Plan prihoda za unos u SAP'!$K$3:$K$500,"=832")</f>
        <v>0</v>
      </c>
      <c r="J114" s="186">
        <f>SUMIFS('Plan prihoda za unos u SAP'!$I$3:$I$500,'Plan prihoda za unos u SAP'!$C$3:$C$500,"=51",'Plan prihoda za unos u SAP'!$K$3:$K$500,"=832")</f>
        <v>0</v>
      </c>
      <c r="K114" s="186">
        <f>SUMIFS('Plan prihoda za unos u SAP'!$I$3:$I$500,'Plan prihoda za unos u SAP'!$C$3:$C$500,"=52",'Plan prihoda za unos u SAP'!$K$3:$K$500,"=832")</f>
        <v>0</v>
      </c>
      <c r="L114" s="186">
        <f>SUMIFS('Plan prihoda za unos u SAP'!$I$3:$I$500,'Plan prihoda za unos u SAP'!$C$3:$C$500,"=552",'Plan prihoda za unos u SAP'!$K$3:$K$500,"=832")</f>
        <v>0</v>
      </c>
      <c r="M114" s="186">
        <f>SUMIFS('Plan prihoda za unos u SAP'!$I$3:$I$500,'Plan prihoda za unos u SAP'!$C$3:$C$500,"=559",'Plan prihoda za unos u SAP'!$K$3:$K$500,"=832")</f>
        <v>0</v>
      </c>
      <c r="N114" s="186">
        <f>SUMIFS('Plan prihoda za unos u SAP'!$I$3:$I$500,'Plan prihoda za unos u SAP'!$C$3:$C$500,"=561",'Plan prihoda za unos u SAP'!$K$3:$K$500,"=832")</f>
        <v>0</v>
      </c>
      <c r="O114" s="186">
        <f>SUMIFS('Plan prihoda za unos u SAP'!$I$3:$I$500,'Plan prihoda za unos u SAP'!$C$3:$C$500,"=563",'Plan prihoda za unos u SAP'!$K$3:$K$500,"=832")</f>
        <v>0</v>
      </c>
      <c r="P114" s="186">
        <f>SUMIFS('Plan prihoda za unos u SAP'!$I$3:$I$500,'Plan prihoda za unos u SAP'!$C$3:$C$500,"=573",'Plan prihoda za unos u SAP'!$K$3:$K$500,"=832")</f>
        <v>0</v>
      </c>
      <c r="Q114" s="186">
        <f>SUMIFS('Plan prihoda za unos u SAP'!$I$3:$I$500,'Plan prihoda za unos u SAP'!$C$3:$C$500,"=575",'Plan prihoda za unos u SAP'!$K$3:$K$500,"=832")</f>
        <v>0</v>
      </c>
      <c r="R114" s="186">
        <f>SUMIFS('Plan prihoda za unos u SAP'!$I$3:$I$500,'Plan prihoda za unos u SAP'!$C$3:$C$500,"=576",'Plan prihoda za unos u SAP'!$K$3:$K$500,"=832")</f>
        <v>0</v>
      </c>
      <c r="S114" s="186">
        <f>SUMIFS('Plan prihoda za unos u SAP'!$I$3:$I$500,'Plan prihoda za unos u SAP'!$C$3:$C$500,"=581",'Plan prihoda za unos u SAP'!$K$3:$K$500,"=832")</f>
        <v>0</v>
      </c>
      <c r="T114" s="186">
        <f>SUMIFS('Plan prihoda za unos u SAP'!$I$3:$I$500,'Plan prihoda za unos u SAP'!$C$3:$C$500,"=61",'Plan prihoda za unos u SAP'!$K$3:$K$500,"=832")</f>
        <v>0</v>
      </c>
      <c r="U114" s="186">
        <f>SUMIFS('Plan prihoda za unos u SAP'!$I$3:$I$500,'Plan prihoda za unos u SAP'!$C$3:$C$500,"=63",'Plan prihoda za unos u SAP'!$K$3:$K$500,"=832")</f>
        <v>0</v>
      </c>
      <c r="V114" s="186">
        <f>SUMIFS('Plan prihoda za unos u SAP'!$I$3:$I$500,'Plan prihoda za unos u SAP'!$C$3:$C$500,"=71",'Plan prihoda za unos u SAP'!$K$3:$K$500,"=832")</f>
        <v>0</v>
      </c>
      <c r="W114" s="186">
        <f>SUMIFS('Plan prihoda za unos u SAP'!$I$3:$I$500,'Plan prihoda za unos u SAP'!$C$3:$C$500,"=81",'Plan prihoda za unos u SAP'!$K$3:$K$500,"=832")</f>
        <v>0</v>
      </c>
    </row>
    <row r="115" spans="1:23" s="90" customFormat="1" ht="25.5">
      <c r="A115" s="90">
        <v>2023</v>
      </c>
      <c r="B115" s="234">
        <v>833</v>
      </c>
      <c r="C115" s="102" t="s">
        <v>1904</v>
      </c>
      <c r="D115" s="70">
        <f t="shared" si="21"/>
        <v>0</v>
      </c>
      <c r="E115" s="186">
        <f>SUMIFS('Plan prihoda za unos u SAP'!$I$3:$I$500,'Plan prihoda za unos u SAP'!$C$3:$C$500,"=11",'Plan prihoda za unos u SAP'!$K$3:$K$500,"=833")</f>
        <v>0</v>
      </c>
      <c r="F115" s="186">
        <f>SUMIFS('Plan prihoda za unos u SAP'!$I$3:$I$500,'Plan prihoda za unos u SAP'!$C$3:$C$500,"=12",'Plan prihoda za unos u SAP'!$K$3:$K$500,"=833")</f>
        <v>0</v>
      </c>
      <c r="G115" s="186">
        <f>SUMIFS('Plan prihoda za unos u SAP'!$I$3:$I$500,'Plan prihoda za unos u SAP'!$C$3:$C$500,"=31",'Plan prihoda za unos u SAP'!$K$3:$K$500,"=833")</f>
        <v>0</v>
      </c>
      <c r="H115" s="186">
        <f>SUMIFS('Plan prihoda za unos u SAP'!$I$3:$I$500,'Plan prihoda za unos u SAP'!$C$3:$C$500,"=41",'Plan prihoda za unos u SAP'!$K$3:$K$500,"=833")</f>
        <v>0</v>
      </c>
      <c r="I115" s="186">
        <f>SUMIFS('Plan prihoda za unos u SAP'!$I$3:$I$500,'Plan prihoda za unos u SAP'!$C$3:$C$500,"=43",'Plan prihoda za unos u SAP'!$K$3:$K$500,"=833")</f>
        <v>0</v>
      </c>
      <c r="J115" s="186">
        <f>SUMIFS('Plan prihoda za unos u SAP'!$I$3:$I$500,'Plan prihoda za unos u SAP'!$C$3:$C$500,"=51",'Plan prihoda za unos u SAP'!$K$3:$K$500,"=833")</f>
        <v>0</v>
      </c>
      <c r="K115" s="186">
        <f>SUMIFS('Plan prihoda za unos u SAP'!$I$3:$I$500,'Plan prihoda za unos u SAP'!$C$3:$C$500,"=52",'Plan prihoda za unos u SAP'!$K$3:$K$500,"=833")</f>
        <v>0</v>
      </c>
      <c r="L115" s="186">
        <f>SUMIFS('Plan prihoda za unos u SAP'!$I$3:$I$500,'Plan prihoda za unos u SAP'!$C$3:$C$500,"=552",'Plan prihoda za unos u SAP'!$K$3:$K$500,"=833")</f>
        <v>0</v>
      </c>
      <c r="M115" s="186">
        <f>SUMIFS('Plan prihoda za unos u SAP'!$I$3:$I$500,'Plan prihoda za unos u SAP'!$C$3:$C$500,"=559",'Plan prihoda za unos u SAP'!$K$3:$K$500,"=833")</f>
        <v>0</v>
      </c>
      <c r="N115" s="186">
        <f>SUMIFS('Plan prihoda za unos u SAP'!$I$3:$I$500,'Plan prihoda za unos u SAP'!$C$3:$C$500,"=561",'Plan prihoda za unos u SAP'!$K$3:$K$500,"=833")</f>
        <v>0</v>
      </c>
      <c r="O115" s="186">
        <f>SUMIFS('Plan prihoda za unos u SAP'!$I$3:$I$500,'Plan prihoda za unos u SAP'!$C$3:$C$500,"=563",'Plan prihoda za unos u SAP'!$K$3:$K$500,"=833")</f>
        <v>0</v>
      </c>
      <c r="P115" s="186">
        <f>SUMIFS('Plan prihoda za unos u SAP'!$I$3:$I$500,'Plan prihoda za unos u SAP'!$C$3:$C$500,"=573",'Plan prihoda za unos u SAP'!$K$3:$K$500,"=833")</f>
        <v>0</v>
      </c>
      <c r="Q115" s="186">
        <f>SUMIFS('Plan prihoda za unos u SAP'!$I$3:$I$500,'Plan prihoda za unos u SAP'!$C$3:$C$500,"=575",'Plan prihoda za unos u SAP'!$K$3:$K$500,"=833")</f>
        <v>0</v>
      </c>
      <c r="R115" s="186">
        <f>SUMIFS('Plan prihoda za unos u SAP'!$I$3:$I$500,'Plan prihoda za unos u SAP'!$C$3:$C$500,"=576",'Plan prihoda za unos u SAP'!$K$3:$K$500,"=833")</f>
        <v>0</v>
      </c>
      <c r="S115" s="186">
        <f>SUMIFS('Plan prihoda za unos u SAP'!$I$3:$I$500,'Plan prihoda za unos u SAP'!$C$3:$C$500,"=581",'Plan prihoda za unos u SAP'!$K$3:$K$500,"=833")</f>
        <v>0</v>
      </c>
      <c r="T115" s="186">
        <f>SUMIFS('Plan prihoda za unos u SAP'!$I$3:$I$500,'Plan prihoda za unos u SAP'!$C$3:$C$500,"=61",'Plan prihoda za unos u SAP'!$K$3:$K$500,"=833")</f>
        <v>0</v>
      </c>
      <c r="U115" s="186">
        <f>SUMIFS('Plan prihoda za unos u SAP'!$I$3:$I$500,'Plan prihoda za unos u SAP'!$C$3:$C$500,"=63",'Plan prihoda za unos u SAP'!$K$3:$K$500,"=833")</f>
        <v>0</v>
      </c>
      <c r="V115" s="186">
        <f>SUMIFS('Plan prihoda za unos u SAP'!$I$3:$I$500,'Plan prihoda za unos u SAP'!$C$3:$C$500,"=71",'Plan prihoda za unos u SAP'!$K$3:$K$500,"=833")</f>
        <v>0</v>
      </c>
      <c r="W115" s="186">
        <f>SUMIFS('Plan prihoda za unos u SAP'!$I$3:$I$500,'Plan prihoda za unos u SAP'!$C$3:$C$500,"=81",'Plan prihoda za unos u SAP'!$K$3:$K$500,"=833")</f>
        <v>0</v>
      </c>
    </row>
    <row r="116" spans="1:23" s="90" customFormat="1" ht="25.5">
      <c r="A116" s="90">
        <v>2023</v>
      </c>
      <c r="B116" s="101">
        <v>841</v>
      </c>
      <c r="C116" s="102" t="s">
        <v>1376</v>
      </c>
      <c r="D116" s="70">
        <f t="shared" si="21"/>
        <v>0</v>
      </c>
      <c r="E116" s="186">
        <f>SUMIFS('Plan prihoda za unos u SAP'!$I$3:$I$500,'Plan prihoda za unos u SAP'!$C$3:$C$500,"=11",'Plan prihoda za unos u SAP'!$K$3:$K$500,"=841")</f>
        <v>0</v>
      </c>
      <c r="F116" s="186">
        <f>SUMIFS('Plan prihoda za unos u SAP'!$I$3:$I$500,'Plan prihoda za unos u SAP'!$C$3:$C$500,"=12",'Plan prihoda za unos u SAP'!$K$3:$K$500,"=841")</f>
        <v>0</v>
      </c>
      <c r="G116" s="186">
        <f>SUMIFS('Plan prihoda za unos u SAP'!$I$3:$I$500,'Plan prihoda za unos u SAP'!$C$3:$C$500,"=31",'Plan prihoda za unos u SAP'!$K$3:$K$500,"=841")</f>
        <v>0</v>
      </c>
      <c r="H116" s="186">
        <f>SUMIFS('Plan prihoda za unos u SAP'!$I$3:$I$500,'Plan prihoda za unos u SAP'!$C$3:$C$500,"=41",'Plan prihoda za unos u SAP'!$K$3:$K$500,"=841")</f>
        <v>0</v>
      </c>
      <c r="I116" s="186">
        <f>SUMIFS('Plan prihoda za unos u SAP'!$I$3:$I$500,'Plan prihoda za unos u SAP'!$C$3:$C$500,"=43",'Plan prihoda za unos u SAP'!$K$3:$K$500,"=841")</f>
        <v>0</v>
      </c>
      <c r="J116" s="186">
        <f>SUMIFS('Plan prihoda za unos u SAP'!$I$3:$I$500,'Plan prihoda za unos u SAP'!$C$3:$C$500,"=51",'Plan prihoda za unos u SAP'!$K$3:$K$500,"=841")</f>
        <v>0</v>
      </c>
      <c r="K116" s="186">
        <f>SUMIFS('Plan prihoda za unos u SAP'!$I$3:$I$500,'Plan prihoda za unos u SAP'!$C$3:$C$500,"=52",'Plan prihoda za unos u SAP'!$K$3:$K$500,"=841")</f>
        <v>0</v>
      </c>
      <c r="L116" s="186">
        <f>SUMIFS('Plan prihoda za unos u SAP'!$I$3:$I$500,'Plan prihoda za unos u SAP'!$C$3:$C$500,"=552",'Plan prihoda za unos u SAP'!$K$3:$K$500,"=841")</f>
        <v>0</v>
      </c>
      <c r="M116" s="186">
        <f>SUMIFS('Plan prihoda za unos u SAP'!$I$3:$I$500,'Plan prihoda za unos u SAP'!$C$3:$C$500,"=559",'Plan prihoda za unos u SAP'!$K$3:$K$500,"=841")</f>
        <v>0</v>
      </c>
      <c r="N116" s="186">
        <f>SUMIFS('Plan prihoda za unos u SAP'!$I$3:$I$500,'Plan prihoda za unos u SAP'!$C$3:$C$500,"=561",'Plan prihoda za unos u SAP'!$K$3:$K$500,"=841")</f>
        <v>0</v>
      </c>
      <c r="O116" s="186">
        <f>SUMIFS('Plan prihoda za unos u SAP'!$I$3:$I$500,'Plan prihoda za unos u SAP'!$C$3:$C$500,"=563",'Plan prihoda za unos u SAP'!$K$3:$K$500,"=841")</f>
        <v>0</v>
      </c>
      <c r="P116" s="186">
        <f>SUMIFS('Plan prihoda za unos u SAP'!$I$3:$I$500,'Plan prihoda za unos u SAP'!$C$3:$C$500,"=573",'Plan prihoda za unos u SAP'!$K$3:$K$500,"=841")</f>
        <v>0</v>
      </c>
      <c r="Q116" s="186">
        <f>SUMIFS('Plan prihoda za unos u SAP'!$I$3:$I$500,'Plan prihoda za unos u SAP'!$C$3:$C$500,"=575",'Plan prihoda za unos u SAP'!$K$3:$K$500,"=841")</f>
        <v>0</v>
      </c>
      <c r="R116" s="186">
        <f>SUMIFS('Plan prihoda za unos u SAP'!$I$3:$I$500,'Plan prihoda za unos u SAP'!$C$3:$C$500,"=576",'Plan prihoda za unos u SAP'!$K$3:$K$500,"=841")</f>
        <v>0</v>
      </c>
      <c r="S116" s="186">
        <f>SUMIFS('Plan prihoda za unos u SAP'!$I$3:$I$500,'Plan prihoda za unos u SAP'!$C$3:$C$500,"=581",'Plan prihoda za unos u SAP'!$K$3:$K$500,"=841")</f>
        <v>0</v>
      </c>
      <c r="T116" s="186">
        <f>SUMIFS('Plan prihoda za unos u SAP'!$I$3:$I$500,'Plan prihoda za unos u SAP'!$C$3:$C$500,"=61",'Plan prihoda za unos u SAP'!$K$3:$K$500,"=841")</f>
        <v>0</v>
      </c>
      <c r="U116" s="186">
        <f>SUMIFS('Plan prihoda za unos u SAP'!$I$3:$I$500,'Plan prihoda za unos u SAP'!$C$3:$C$500,"=63",'Plan prihoda za unos u SAP'!$K$3:$K$500,"=841")</f>
        <v>0</v>
      </c>
      <c r="V116" s="186">
        <f>SUMIFS('Plan prihoda za unos u SAP'!$I$3:$I$500,'Plan prihoda za unos u SAP'!$C$3:$C$500,"=71",'Plan prihoda za unos u SAP'!$K$3:$K$500,"=841")</f>
        <v>0</v>
      </c>
      <c r="W116" s="186">
        <f>SUMIFS('Plan prihoda za unos u SAP'!$I$3:$I$500,'Plan prihoda za unos u SAP'!$C$3:$C$500,"=81",'Plan prihoda za unos u SAP'!$K$3:$K$500,"=841")</f>
        <v>0</v>
      </c>
    </row>
    <row r="117" spans="1:23" s="90" customFormat="1" ht="25.5">
      <c r="A117" s="90">
        <v>2023</v>
      </c>
      <c r="B117" s="101">
        <v>842</v>
      </c>
      <c r="C117" s="102" t="s">
        <v>316</v>
      </c>
      <c r="D117" s="70">
        <f t="shared" si="21"/>
        <v>0</v>
      </c>
      <c r="E117" s="186">
        <f>SUMIFS('Plan prihoda za unos u SAP'!$I$3:$I$500,'Plan prihoda za unos u SAP'!$C$3:$C$500,"=11",'Plan prihoda za unos u SAP'!$K$3:$K$500,"=841")</f>
        <v>0</v>
      </c>
      <c r="F117" s="186">
        <f>SUMIFS('Plan prihoda za unos u SAP'!$I$3:$I$500,'Plan prihoda za unos u SAP'!$C$3:$C$500,"=12",'Plan prihoda za unos u SAP'!$K$3:$K$500,"=841")</f>
        <v>0</v>
      </c>
      <c r="G117" s="186">
        <f>SUMIFS('Plan prihoda za unos u SAP'!$I$3:$I$500,'Plan prihoda za unos u SAP'!$C$3:$C$500,"=31",'Plan prihoda za unos u SAP'!$K$3:$K$500,"=841")</f>
        <v>0</v>
      </c>
      <c r="H117" s="186">
        <f>SUMIFS('Plan prihoda za unos u SAP'!$I$3:$I$500,'Plan prihoda za unos u SAP'!$C$3:$C$500,"=41",'Plan prihoda za unos u SAP'!$K$3:$K$500,"=841")</f>
        <v>0</v>
      </c>
      <c r="I117" s="186">
        <f>SUMIFS('Plan prihoda za unos u SAP'!$I$3:$I$500,'Plan prihoda za unos u SAP'!$C$3:$C$500,"=43",'Plan prihoda za unos u SAP'!$K$3:$K$500,"=841")</f>
        <v>0</v>
      </c>
      <c r="J117" s="186">
        <f>SUMIFS('Plan prihoda za unos u SAP'!$I$3:$I$500,'Plan prihoda za unos u SAP'!$C$3:$C$500,"=51",'Plan prihoda za unos u SAP'!$K$3:$K$500,"=841")</f>
        <v>0</v>
      </c>
      <c r="K117" s="186">
        <f>SUMIFS('Plan prihoda za unos u SAP'!$I$3:$I$500,'Plan prihoda za unos u SAP'!$C$3:$C$500,"=52",'Plan prihoda za unos u SAP'!$K$3:$K$500,"=841")</f>
        <v>0</v>
      </c>
      <c r="L117" s="186">
        <f>SUMIFS('Plan prihoda za unos u SAP'!$I$3:$I$500,'Plan prihoda za unos u SAP'!$C$3:$C$500,"=552",'Plan prihoda za unos u SAP'!$K$3:$K$500,"=841")</f>
        <v>0</v>
      </c>
      <c r="M117" s="186">
        <f>SUMIFS('Plan prihoda za unos u SAP'!$I$3:$I$500,'Plan prihoda za unos u SAP'!$C$3:$C$500,"=559",'Plan prihoda za unos u SAP'!$K$3:$K$500,"=841")</f>
        <v>0</v>
      </c>
      <c r="N117" s="186">
        <f>SUMIFS('Plan prihoda za unos u SAP'!$I$3:$I$500,'Plan prihoda za unos u SAP'!$C$3:$C$500,"=561",'Plan prihoda za unos u SAP'!$K$3:$K$500,"=841")</f>
        <v>0</v>
      </c>
      <c r="O117" s="186">
        <f>SUMIFS('Plan prihoda za unos u SAP'!$I$3:$I$500,'Plan prihoda za unos u SAP'!$C$3:$C$500,"=563",'Plan prihoda za unos u SAP'!$K$3:$K$500,"=841")</f>
        <v>0</v>
      </c>
      <c r="P117" s="186">
        <f>SUMIFS('Plan prihoda za unos u SAP'!$I$3:$I$500,'Plan prihoda za unos u SAP'!$C$3:$C$500,"=573",'Plan prihoda za unos u SAP'!$K$3:$K$500,"=841")</f>
        <v>0</v>
      </c>
      <c r="Q117" s="186">
        <f>SUMIFS('Plan prihoda za unos u SAP'!$I$3:$I$500,'Plan prihoda za unos u SAP'!$C$3:$C$500,"=575",'Plan prihoda za unos u SAP'!$K$3:$K$500,"=841")</f>
        <v>0</v>
      </c>
      <c r="R117" s="186">
        <f>SUMIFS('Plan prihoda za unos u SAP'!$I$3:$I$500,'Plan prihoda za unos u SAP'!$C$3:$C$500,"=576",'Plan prihoda za unos u SAP'!$K$3:$K$500,"=841")</f>
        <v>0</v>
      </c>
      <c r="S117" s="186">
        <f>SUMIFS('Plan prihoda za unos u SAP'!$I$3:$I$500,'Plan prihoda za unos u SAP'!$C$3:$C$500,"=581",'Plan prihoda za unos u SAP'!$K$3:$K$500,"=841")</f>
        <v>0</v>
      </c>
      <c r="T117" s="186">
        <f>SUMIFS('Plan prihoda za unos u SAP'!$I$3:$I$500,'Plan prihoda za unos u SAP'!$C$3:$C$500,"=61",'Plan prihoda za unos u SAP'!$K$3:$K$500,"=841")</f>
        <v>0</v>
      </c>
      <c r="U117" s="186">
        <f>SUMIFS('Plan prihoda za unos u SAP'!$I$3:$I$500,'Plan prihoda za unos u SAP'!$C$3:$C$500,"=63",'Plan prihoda za unos u SAP'!$K$3:$K$500,"=841")</f>
        <v>0</v>
      </c>
      <c r="V117" s="186">
        <f>SUMIFS('Plan prihoda za unos u SAP'!$I$3:$I$500,'Plan prihoda za unos u SAP'!$C$3:$C$500,"=71",'Plan prihoda za unos u SAP'!$K$3:$K$500,"=841")</f>
        <v>0</v>
      </c>
      <c r="W117" s="186">
        <f>SUMIFS('Plan prihoda za unos u SAP'!$I$3:$I$500,'Plan prihoda za unos u SAP'!$C$3:$C$500,"=81",'Plan prihoda za unos u SAP'!$K$3:$K$500,"=841")</f>
        <v>0</v>
      </c>
    </row>
    <row r="118" spans="1:23" s="90" customFormat="1">
      <c r="A118" s="90">
        <v>2023</v>
      </c>
      <c r="B118" s="98" t="s">
        <v>307</v>
      </c>
      <c r="C118" s="99" t="s">
        <v>299</v>
      </c>
      <c r="D118" s="70">
        <f t="shared" si="21"/>
        <v>0</v>
      </c>
      <c r="E118" s="4">
        <f>SUM(E113:E117)</f>
        <v>0</v>
      </c>
      <c r="F118" s="4">
        <f>SUM(F113:F117)</f>
        <v>0</v>
      </c>
      <c r="G118" s="4">
        <f t="shared" ref="G118:W118" si="30">SUM(G113:G117)</f>
        <v>0</v>
      </c>
      <c r="H118" s="4">
        <f t="shared" si="30"/>
        <v>0</v>
      </c>
      <c r="I118" s="4">
        <f t="shared" si="30"/>
        <v>0</v>
      </c>
      <c r="J118" s="4">
        <f t="shared" si="30"/>
        <v>0</v>
      </c>
      <c r="K118" s="4">
        <f t="shared" si="30"/>
        <v>0</v>
      </c>
      <c r="L118" s="4">
        <f t="shared" si="30"/>
        <v>0</v>
      </c>
      <c r="M118" s="4">
        <f t="shared" si="30"/>
        <v>0</v>
      </c>
      <c r="N118" s="4">
        <f t="shared" si="30"/>
        <v>0</v>
      </c>
      <c r="O118" s="4">
        <f t="shared" si="30"/>
        <v>0</v>
      </c>
      <c r="P118" s="4">
        <f t="shared" si="30"/>
        <v>0</v>
      </c>
      <c r="Q118" s="4">
        <f t="shared" si="30"/>
        <v>0</v>
      </c>
      <c r="R118" s="4">
        <f t="shared" si="30"/>
        <v>0</v>
      </c>
      <c r="S118" s="4">
        <f>SUM(S113:S117)</f>
        <v>0</v>
      </c>
      <c r="T118" s="4">
        <f t="shared" si="30"/>
        <v>0</v>
      </c>
      <c r="U118" s="4">
        <f t="shared" si="30"/>
        <v>0</v>
      </c>
      <c r="V118" s="4">
        <f t="shared" si="30"/>
        <v>0</v>
      </c>
      <c r="W118" s="4">
        <f t="shared" si="30"/>
        <v>0</v>
      </c>
    </row>
    <row r="119" spans="1:23" s="90" customFormat="1" ht="21" customHeight="1">
      <c r="A119" s="90">
        <v>2023</v>
      </c>
      <c r="B119" s="252" t="s">
        <v>308</v>
      </c>
      <c r="C119" s="252"/>
      <c r="D119" s="71">
        <f t="shared" si="21"/>
        <v>36984109.384424858</v>
      </c>
      <c r="E119" s="71">
        <f>+E118+E112+E105</f>
        <v>7567779.3844248569</v>
      </c>
      <c r="F119" s="71">
        <f>+F118+F112+F105</f>
        <v>245277</v>
      </c>
      <c r="G119" s="71">
        <f t="shared" ref="G119:W119" si="31">+G118+G112+G105</f>
        <v>3857000</v>
      </c>
      <c r="H119" s="71">
        <f t="shared" si="31"/>
        <v>0</v>
      </c>
      <c r="I119" s="71">
        <f t="shared" si="31"/>
        <v>0</v>
      </c>
      <c r="J119" s="71">
        <f t="shared" si="31"/>
        <v>1229689</v>
      </c>
      <c r="K119" s="71">
        <f t="shared" si="31"/>
        <v>22730516</v>
      </c>
      <c r="L119" s="71">
        <f t="shared" si="31"/>
        <v>0</v>
      </c>
      <c r="M119" s="71">
        <f t="shared" si="31"/>
        <v>0</v>
      </c>
      <c r="N119" s="71">
        <f t="shared" si="31"/>
        <v>866941</v>
      </c>
      <c r="O119" s="71">
        <f t="shared" si="31"/>
        <v>-196000</v>
      </c>
      <c r="P119" s="71">
        <f t="shared" si="31"/>
        <v>0</v>
      </c>
      <c r="Q119" s="71">
        <f t="shared" si="31"/>
        <v>0</v>
      </c>
      <c r="R119" s="71">
        <f t="shared" si="31"/>
        <v>0</v>
      </c>
      <c r="S119" s="71">
        <f>+S118+S112+S105</f>
        <v>0</v>
      </c>
      <c r="T119" s="71">
        <f t="shared" si="31"/>
        <v>692907</v>
      </c>
      <c r="U119" s="71">
        <f t="shared" si="31"/>
        <v>0</v>
      </c>
      <c r="V119" s="71">
        <f t="shared" si="31"/>
        <v>-10000</v>
      </c>
      <c r="W119" s="71">
        <f t="shared" si="31"/>
        <v>0</v>
      </c>
    </row>
    <row r="120" spans="1:23">
      <c r="B120" s="62"/>
      <c r="C120" s="62"/>
      <c r="D120" s="62"/>
      <c r="E120" s="62"/>
      <c r="F120" s="62"/>
      <c r="G120" s="62"/>
      <c r="H120" s="62"/>
      <c r="I120" s="103"/>
      <c r="J120" s="104"/>
      <c r="K120" s="104"/>
      <c r="L120" s="104"/>
      <c r="M120" s="104"/>
      <c r="N120" s="104"/>
      <c r="O120" s="104"/>
      <c r="P120" s="104"/>
      <c r="Q120" s="104"/>
      <c r="R120" s="104"/>
      <c r="S120" s="91"/>
      <c r="W120" s="91"/>
    </row>
    <row r="121" spans="1:23">
      <c r="G121" s="5"/>
      <c r="H121" s="5"/>
      <c r="I121" s="63"/>
      <c r="J121" s="105"/>
      <c r="K121" s="105"/>
      <c r="L121" s="105"/>
      <c r="M121" s="105"/>
      <c r="N121" s="105"/>
      <c r="O121" s="105"/>
      <c r="P121" s="105"/>
      <c r="Q121" s="105"/>
      <c r="R121" s="105"/>
    </row>
    <row r="122" spans="1:23">
      <c r="G122" s="5"/>
      <c r="H122" s="5"/>
      <c r="I122" s="106"/>
      <c r="J122" s="107"/>
      <c r="K122" s="107"/>
      <c r="L122" s="107"/>
      <c r="M122" s="107"/>
      <c r="N122" s="107"/>
      <c r="O122" s="107"/>
      <c r="P122" s="107"/>
      <c r="Q122" s="107"/>
      <c r="R122" s="107"/>
    </row>
    <row r="123" spans="1:23">
      <c r="B123" s="5"/>
      <c r="C123" s="5"/>
      <c r="D123" s="5"/>
      <c r="E123" s="5"/>
      <c r="F123" s="5"/>
      <c r="G123" s="5"/>
      <c r="H123" s="5"/>
      <c r="I123" s="64"/>
      <c r="J123" s="5"/>
      <c r="K123" s="5"/>
      <c r="L123" s="5"/>
      <c r="M123" s="5"/>
      <c r="N123" s="5"/>
      <c r="O123" s="5"/>
      <c r="P123" s="5"/>
      <c r="Q123" s="5"/>
      <c r="R123" s="5"/>
    </row>
    <row r="124" spans="1:23">
      <c r="B124" s="5"/>
      <c r="C124" s="5"/>
      <c r="D124" s="5"/>
      <c r="E124" s="5"/>
      <c r="F124" s="5"/>
      <c r="G124" s="5"/>
      <c r="H124" s="5"/>
      <c r="I124" s="64"/>
      <c r="J124" s="5"/>
      <c r="K124" s="5"/>
      <c r="L124" s="5"/>
      <c r="M124" s="5"/>
      <c r="N124" s="5"/>
      <c r="O124" s="5"/>
      <c r="P124" s="5"/>
      <c r="Q124" s="5"/>
      <c r="R124" s="5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  <c r="I128" s="64"/>
      <c r="J128" s="66"/>
      <c r="K128" s="66"/>
      <c r="L128" s="66"/>
      <c r="M128" s="66"/>
      <c r="N128" s="66"/>
      <c r="O128" s="66"/>
      <c r="P128" s="66"/>
      <c r="Q128" s="66"/>
      <c r="R128" s="66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108"/>
      <c r="K130" s="108"/>
      <c r="L130" s="108"/>
      <c r="M130" s="108"/>
      <c r="N130" s="108"/>
      <c r="O130" s="108"/>
      <c r="P130" s="108"/>
      <c r="Q130" s="108"/>
      <c r="R130" s="108"/>
    </row>
    <row r="131" spans="2:18">
      <c r="I131" s="106"/>
      <c r="J131" s="109"/>
      <c r="K131" s="109"/>
      <c r="L131" s="109"/>
      <c r="M131" s="109"/>
      <c r="N131" s="109"/>
      <c r="O131" s="109"/>
      <c r="P131" s="109"/>
      <c r="Q131" s="109"/>
      <c r="R131" s="109"/>
    </row>
  </sheetData>
  <mergeCells count="7">
    <mergeCell ref="B1:V1"/>
    <mergeCell ref="B81:C81"/>
    <mergeCell ref="B41:C41"/>
    <mergeCell ref="D41:U41"/>
    <mergeCell ref="D81:U81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5:W45 E85:W85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39" max="16383" man="1"/>
    <brk id="7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64" zoomScaleNormal="64" zoomScaleSheetLayoutView="80" workbookViewId="0">
      <pane xSplit="4" ySplit="3" topLeftCell="E73" activePane="bottomRight" state="frozen"/>
      <selection pane="topRight" activeCell="D1" sqref="D1"/>
      <selection pane="bottomLeft" activeCell="A4" sqref="A4"/>
      <selection pane="bottomRight" activeCell="D90" sqref="D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80" t="s">
        <v>3493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</row>
    <row r="2" spans="1:263" s="74" customFormat="1" ht="63.75">
      <c r="A2" s="93" t="s">
        <v>1906</v>
      </c>
      <c r="B2" s="93" t="s">
        <v>199</v>
      </c>
      <c r="C2" s="93" t="s">
        <v>200</v>
      </c>
      <c r="D2" s="2" t="s">
        <v>3491</v>
      </c>
      <c r="E2" s="2" t="s">
        <v>40</v>
      </c>
      <c r="F2" s="2" t="s">
        <v>317</v>
      </c>
      <c r="G2" s="93" t="s">
        <v>19</v>
      </c>
      <c r="H2" s="93" t="s">
        <v>1367</v>
      </c>
      <c r="I2" s="93" t="s">
        <v>20</v>
      </c>
      <c r="J2" s="93" t="s">
        <v>266</v>
      </c>
      <c r="K2" s="93" t="s">
        <v>267</v>
      </c>
      <c r="L2" s="93" t="s">
        <v>1368</v>
      </c>
      <c r="M2" s="93" t="s">
        <v>268</v>
      </c>
      <c r="N2" s="93" t="s">
        <v>269</v>
      </c>
      <c r="O2" s="93" t="s">
        <v>270</v>
      </c>
      <c r="P2" s="93" t="s">
        <v>1369</v>
      </c>
      <c r="Q2" s="93" t="s">
        <v>1370</v>
      </c>
      <c r="R2" s="93" t="s">
        <v>1902</v>
      </c>
      <c r="S2" s="93" t="s">
        <v>3479</v>
      </c>
      <c r="T2" s="93" t="s">
        <v>271</v>
      </c>
      <c r="U2" s="93" t="s">
        <v>272</v>
      </c>
      <c r="V2" s="93" t="s">
        <v>1344</v>
      </c>
      <c r="W2" s="93" t="s">
        <v>1343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348</v>
      </c>
      <c r="D3" s="120">
        <f t="shared" ref="D3:D34" si="0">SUM(E3:W3)</f>
        <v>172917370.92389888</v>
      </c>
      <c r="E3" s="121">
        <f t="shared" ref="E3:W3" si="1">E4+E38+E58</f>
        <v>135144532.61557513</v>
      </c>
      <c r="F3" s="121">
        <f t="shared" si="1"/>
        <v>48665</v>
      </c>
      <c r="G3" s="121">
        <f t="shared" si="1"/>
        <v>12709391</v>
      </c>
      <c r="H3" s="121">
        <f>H4+H38+H58</f>
        <v>0</v>
      </c>
      <c r="I3" s="121">
        <f t="shared" si="1"/>
        <v>13037349</v>
      </c>
      <c r="J3" s="121">
        <f t="shared" si="1"/>
        <v>1673253.0324267435</v>
      </c>
      <c r="K3" s="121">
        <f t="shared" si="1"/>
        <v>9667340.2758970018</v>
      </c>
      <c r="L3" s="121">
        <f>L4+L38+L58</f>
        <v>0</v>
      </c>
      <c r="M3" s="121">
        <f t="shared" si="1"/>
        <v>0</v>
      </c>
      <c r="N3" s="121">
        <f t="shared" si="1"/>
        <v>275770</v>
      </c>
      <c r="O3" s="121">
        <f t="shared" si="1"/>
        <v>196000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125070</v>
      </c>
      <c r="U3" s="121">
        <f t="shared" si="1"/>
        <v>0</v>
      </c>
      <c r="V3" s="121">
        <f t="shared" si="1"/>
        <v>40000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168643145.08483148</v>
      </c>
      <c r="E4" s="125">
        <f>E5+E9+E15+E19+E23+E30+E33</f>
        <v>133495532.61557513</v>
      </c>
      <c r="F4" s="125">
        <f t="shared" ref="F4:W4" si="2">F5+F9+F15+F19+F23+F30+F33</f>
        <v>48665</v>
      </c>
      <c r="G4" s="125">
        <f t="shared" si="2"/>
        <v>11480591</v>
      </c>
      <c r="H4" s="125">
        <f>H5+H9+H15+H19+H23+H30+H33</f>
        <v>0</v>
      </c>
      <c r="I4" s="125">
        <f t="shared" si="2"/>
        <v>11863178</v>
      </c>
      <c r="J4" s="125">
        <f t="shared" si="2"/>
        <v>1658072.9416302103</v>
      </c>
      <c r="K4" s="125">
        <f t="shared" si="2"/>
        <v>9460265.52762614</v>
      </c>
      <c r="L4" s="125">
        <f>L5+L9+L15+L19+L23+L30+L33</f>
        <v>0</v>
      </c>
      <c r="M4" s="125">
        <f t="shared" si="2"/>
        <v>0</v>
      </c>
      <c r="N4" s="125">
        <f t="shared" si="2"/>
        <v>275770</v>
      </c>
      <c r="O4" s="125">
        <f t="shared" si="2"/>
        <v>196000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125070</v>
      </c>
      <c r="U4" s="125">
        <f t="shared" si="2"/>
        <v>0</v>
      </c>
      <c r="V4" s="125">
        <f t="shared" si="2"/>
        <v>40000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126020077.137284</v>
      </c>
      <c r="E5" s="12">
        <f>SUM(E6:E8)</f>
        <v>115460500</v>
      </c>
      <c r="F5" s="12">
        <f t="shared" ref="F5:W5" si="3">SUM(F6:F8)</f>
        <v>33150</v>
      </c>
      <c r="G5" s="12">
        <f t="shared" si="3"/>
        <v>2383450</v>
      </c>
      <c r="H5" s="12">
        <f>SUM(H6:H8)</f>
        <v>0</v>
      </c>
      <c r="I5" s="12">
        <f t="shared" si="3"/>
        <v>5550587</v>
      </c>
      <c r="J5" s="12">
        <f t="shared" si="3"/>
        <v>297708.55921630689</v>
      </c>
      <c r="K5" s="12">
        <f t="shared" si="3"/>
        <v>2046999.5780676906</v>
      </c>
      <c r="L5" s="12">
        <f>SUM(L6:L8)</f>
        <v>0</v>
      </c>
      <c r="M5" s="12">
        <f t="shared" si="3"/>
        <v>0</v>
      </c>
      <c r="N5" s="12">
        <f t="shared" si="3"/>
        <v>187850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59832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105207582.8149993</v>
      </c>
      <c r="E6" s="138">
        <f>SUMIFS('Plan rashoda za unos u SAP'!$I$3:$I$525,'Plan rashoda za unos u SAP'!$C$3:$C$525,"=11",'Plan rashoda za unos u SAP'!$M$3:$M$525,"=311")+SUMIFS('ANALITIKA EU PROJEKATA'!$G$3:$G$586,'ANALITIKA EU PROJEKATA'!$A$3:$A$586,"=11",'ANALITIKA EU PROJEKATA'!$K$3:$K$586,"=311")</f>
        <v>96724088</v>
      </c>
      <c r="F6" s="138">
        <f>SUMIFS('Plan rashoda za unos u SAP'!$I$3:$I$525,'Plan rashoda za unos u SAP'!$C$3:$C$525,"=12",'Plan rashoda za unos u SAP'!$M$3:$M$525,"=311")+SUMIFS('ANALITIKA EU PROJEKATA'!$G$3:$G$586,'ANALITIKA EU PROJEKATA'!$A$3:$A$586,"=12",'ANALITIKA EU PROJEKATA'!$K$3:$K$586,"=311")</f>
        <v>27846</v>
      </c>
      <c r="G6" s="138">
        <f>SUMIFS('Plan rashoda za unos u SAP'!$I$3:$I$525,'Plan rashoda za unos u SAP'!$C$3:$C$525,"=31",'Plan rashoda za unos u SAP'!$M$3:$M$525,"=311")+SUMIFS('ANALITIKA EU PROJEKATA'!$G$3:$G$586,'ANALITIKA EU PROJEKATA'!$A$3:$A$586,"=31",'ANALITIKA EU PROJEKATA'!$K$3:$K$586,"=311")</f>
        <v>2031800</v>
      </c>
      <c r="H6" s="138">
        <f>SUMIFS('Plan rashoda za unos u SAP'!$I$3:$I$525,'Plan rashoda za unos u SAP'!$C$3:$C$525,"=41",'Plan rashoda za unos u SAP'!$M$3:$M$525,"=311")+SUMIFS('ANALITIKA EU PROJEKATA'!$G$3:$G$586,'ANALITIKA EU PROJEKATA'!$A$3:$A$586,"=41",'ANALITIKA EU PROJEKATA'!$K$3:$K$586,"=311")</f>
        <v>0</v>
      </c>
      <c r="I6" s="138">
        <f>SUMIFS('Plan rashoda za unos u SAP'!$I$3:$I$525,'Plan rashoda za unos u SAP'!$C$3:$C$525,"=43",'Plan rashoda za unos u SAP'!$M$3:$M$525,"=311")+SUMIFS('ANALITIKA EU PROJEKATA'!$G$3:$G$586,'ANALITIKA EU PROJEKATA'!$A$3:$A$586,"=43",'ANALITIKA EU PROJEKATA'!$K$3:$K$586,"=311")</f>
        <v>4118125</v>
      </c>
      <c r="J6" s="138">
        <f>SUMIFS('Plan rashoda za unos u SAP'!$I$3:$I$525,'Plan rashoda za unos u SAP'!$C$3:$C$525,"=51",'Plan rashoda za unos u SAP'!$M$3:$M$525,"=311")+SUMIFS('ANALITIKA EU PROJEKATA'!$G$3:$G$586,'ANALITIKA EU PROJEKATA'!$A$3:$A$586,"=51",'ANALITIKA EU PROJEKATA'!$K$3:$K$586,"=311")</f>
        <v>250326.06548309463</v>
      </c>
      <c r="K6" s="138">
        <f>SUMIFS('Plan rashoda za unos u SAP'!$I$3:$I$525,'Plan rashoda za unos u SAP'!$C$3:$C$525,"=52",'Plan rashoda za unos u SAP'!$M$3:$M$525,"=311")+SUMIFS('ANALITIKA EU PROJEKATA'!$G$3:$G$586,'ANALITIKA EU PROJEKATA'!$A$3:$A$586,"=52",'ANALITIKA EU PROJEKATA'!$K$3:$K$586,"=311")</f>
        <v>1846245.7495162021</v>
      </c>
      <c r="L6" s="138">
        <f>SUMIFS('Plan rashoda za unos u SAP'!$I$3:$I$525,'Plan rashoda za unos u SAP'!$C$3:$C$525,"=552",'Plan rashoda za unos u SAP'!$M$3:$M$525,"=311")+SUMIFS('ANALITIKA EU PROJEKATA'!$G$3:$G$586,'ANALITIKA EU PROJEKATA'!$A$3:$A$586,"=552",'ANALITIKA EU PROJEKATA'!$K$3:$K$586,"=311")</f>
        <v>0</v>
      </c>
      <c r="M6" s="138">
        <f>SUMIFS('Plan rashoda za unos u SAP'!$I$3:$I$525,'Plan rashoda za unos u SAP'!$C$3:$C$525,"=559",'Plan rashoda za unos u SAP'!$M$3:$M$525,"=311")+SUMIFS('ANALITIKA EU PROJEKATA'!$G$3:$G$586,'ANALITIKA EU PROJEKATA'!$A$3:$A$586,"=559",'ANALITIKA EU PROJEKATA'!$K$3:$K$586,"=311")</f>
        <v>0</v>
      </c>
      <c r="N6" s="138">
        <f>SUMIFS('Plan rashoda za unos u SAP'!$I$3:$I$525,'Plan rashoda za unos u SAP'!$C$3:$C$525,"=561",'Plan rashoda za unos u SAP'!$M$3:$M$525,"=311")+SUMIFS('ANALITIKA EU PROJEKATA'!$G$3:$G$586,'ANALITIKA EU PROJEKATA'!$A$3:$A$586,"=561",'ANALITIKA EU PROJEKATA'!$K$3:$K$586,"=311")</f>
        <v>157794</v>
      </c>
      <c r="O6" s="138">
        <f>SUMIFS('Plan rashoda za unos u SAP'!$I$3:$I$525,'Plan rashoda za unos u SAP'!$C$3:$C$525,"=563",'Plan rashoda za unos u SAP'!$M$3:$M$525,"=311")+SUMIFS('ANALITIKA EU PROJEKATA'!$G$3:$G$586,'ANALITIKA EU PROJEKATA'!$A$3:$A$586,"=563",'ANALITIKA EU PROJEKATA'!$K$3:$K$586,"=311")</f>
        <v>0</v>
      </c>
      <c r="P6" s="138">
        <f>SUMIFS('Plan rashoda za unos u SAP'!$I$3:$I$525,'Plan rashoda za unos u SAP'!$C$3:$C$525,"=573",'Plan rashoda za unos u SAP'!$M$3:$M$525,"=311")+SUMIFS('ANALITIKA EU PROJEKATA'!$G$3:$G$586,'ANALITIKA EU PROJEKATA'!$A$3:$A$586,"=573",'ANALITIKA EU PROJEKATA'!$K$3:$K$586,"=311")</f>
        <v>0</v>
      </c>
      <c r="Q6" s="138">
        <f>SUMIFS('Plan rashoda za unos u SAP'!$I$3:$I$525,'Plan rashoda za unos u SAP'!$C$3:$C$525,"=575",'Plan rashoda za unos u SAP'!$M$3:$M$525,"=311")+SUMIFS('ANALITIKA EU PROJEKATA'!$G$3:$G$586,'ANALITIKA EU PROJEKATA'!$A$3:$A$586,"=575",'ANALITIKA EU PROJEKATA'!$K$3:$K$586,"=311")</f>
        <v>0</v>
      </c>
      <c r="R6" s="138">
        <f>SUMIFS('Plan rashoda za unos u SAP'!$I$3:$I$525,'Plan rashoda za unos u SAP'!$C$3:$C$525,"=576",'Plan rashoda za unos u SAP'!$M$3:$M$525,"=311")+SUMIFS('ANALITIKA EU PROJEKATA'!$G$3:$G$586,'ANALITIKA EU PROJEKATA'!$A$3:$A$586,"=576",'ANALITIKA EU PROJEKATA'!$K$3:$K$586,"=311")</f>
        <v>0</v>
      </c>
      <c r="S6" s="138">
        <f>SUMIFS('Plan rashoda za unos u SAP'!$I$3:$I$525,'Plan rashoda za unos u SAP'!$C$3:$C$525,"=581",'Plan rashoda za unos u SAP'!$M$3:$M$525,"=311")+SUMIFS('ANALITIKA EU PROJEKATA'!$G$3:$G$586,'ANALITIKA EU PROJEKATA'!$A$3:$A$586,"=581",'ANALITIKA EU PROJEKATA'!$K$3:$K$586,"=311")</f>
        <v>0</v>
      </c>
      <c r="T6" s="138">
        <f>SUMIFS('Plan rashoda za unos u SAP'!$I$3:$I$525,'Plan rashoda za unos u SAP'!$C$3:$C$525,"=61",'Plan rashoda za unos u SAP'!$M$3:$M$525,"=311")+SUMIFS('ANALITIKA EU PROJEKATA'!$G$3:$G$586,'ANALITIKA EU PROJEKATA'!$A$3:$A$586,"=61",'ANALITIKA EU PROJEKATA'!$K$3:$K$586,"=311")</f>
        <v>51358</v>
      </c>
      <c r="U6" s="138">
        <f>SUMIFS('Plan rashoda za unos u SAP'!$I$3:$I$525,'Plan rashoda za unos u SAP'!$C$3:$C$525,"=63",'Plan rashoda za unos u SAP'!$M$3:$M$525,"=311")+SUMIFS('ANALITIKA EU PROJEKATA'!$G$3:$G$586,'ANALITIKA EU PROJEKATA'!$A$3:$A$586,"=63",'ANALITIKA EU PROJEKATA'!$K$3:$K$586,"=311")</f>
        <v>0</v>
      </c>
      <c r="V6" s="138">
        <f>SUMIFS('Plan rashoda za unos u SAP'!$I$3:$I$525,'Plan rashoda za unos u SAP'!$C$3:$C$525,"=71",'Plan rashoda za unos u SAP'!$M$3:$M$525,"=311")+SUMIFS('ANALITIKA EU PROJEKATA'!$G$3:$G$586,'ANALITIKA EU PROJEKATA'!$A$3:$A$586,"=71",'ANALITIKA EU PROJEKATA'!$K$3:$K$586,"=311")</f>
        <v>0</v>
      </c>
      <c r="W6" s="138">
        <f>SUMIFS('Plan rashoda za unos u SAP'!$I$3:$I$525,'Plan rashoda za unos u SAP'!$C$3:$C$525,"=81",'Plan rashoda za unos u SAP'!$M$3:$M$525,"=311")+SUMIFS('ANALITIKA EU PROJEKATA'!$G$3:$G$586,'ANALITIKA EU PROJEKATA'!$A$3:$A$586,"=81",'ANALITIKA EU PROJEKATA'!$K$3:$K$586,"=311")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3690747.4188544727</v>
      </c>
      <c r="E7" s="138">
        <f>SUMIFS('Plan rashoda za unos u SAP'!$I$3:$I$525,'Plan rashoda za unos u SAP'!$C$3:$C$525,"=11",'Plan rashoda za unos u SAP'!$M$3:$M$525,"=312")+SUMIFS('ANALITIKA EU PROJEKATA'!$G$3:$G$586,'ANALITIKA EU PROJEKATA'!$A$3:$A$586,"=11",'ANALITIKA EU PROJEKATA'!$K$3:$K$586,"=312")</f>
        <v>2914368</v>
      </c>
      <c r="F7" s="138">
        <f>SUMIFS('Plan rashoda za unos u SAP'!$I$3:$I$525,'Plan rashoda za unos u SAP'!$C$3:$C$525,"=12",'Plan rashoda za unos u SAP'!$M$3:$M$525,"=312")+SUMIFS('ANALITIKA EU PROJEKATA'!$G$3:$G$586,'ANALITIKA EU PROJEKATA'!$A$3:$A$586,"=12",'ANALITIKA EU PROJEKATA'!$K$3:$K$586,"=312")</f>
        <v>0</v>
      </c>
      <c r="G7" s="138">
        <f>SUMIFS('Plan rashoda za unos u SAP'!$I$3:$I$525,'Plan rashoda za unos u SAP'!$C$3:$C$525,"=31",'Plan rashoda za unos u SAP'!$M$3:$M$525,"=312")+SUMIFS('ANALITIKA EU PROJEKATA'!$G$3:$G$586,'ANALITIKA EU PROJEKATA'!$A$3:$A$586,"=31",'ANALITIKA EU PROJEKATA'!$K$3:$K$586,"=312")</f>
        <v>20000</v>
      </c>
      <c r="H7" s="138">
        <f>SUMIFS('Plan rashoda za unos u SAP'!$I$3:$I$525,'Plan rashoda za unos u SAP'!$C$3:$C$525,"=41",'Plan rashoda za unos u SAP'!$M$3:$M$525,"=312")+SUMIFS('ANALITIKA EU PROJEKATA'!$G$3:$G$586,'ANALITIKA EU PROJEKATA'!$A$3:$A$586,"=41",'ANALITIKA EU PROJEKATA'!$K$3:$K$586,"=312")</f>
        <v>0</v>
      </c>
      <c r="I7" s="138">
        <f>SUMIFS('Plan rashoda za unos u SAP'!$I$3:$I$525,'Plan rashoda za unos u SAP'!$C$3:$C$525,"=43",'Plan rashoda za unos u SAP'!$M$3:$M$525,"=312")+SUMIFS('ANALITIKA EU PROJEKATA'!$G$3:$G$586,'ANALITIKA EU PROJEKATA'!$A$3:$A$586,"=43",'ANALITIKA EU PROJEKATA'!$K$3:$K$586,"=312")</f>
        <v>748850</v>
      </c>
      <c r="J7" s="138">
        <f>SUMIFS('Plan rashoda za unos u SAP'!$I$3:$I$525,'Plan rashoda za unos u SAP'!$C$3:$C$525,"=51",'Plan rashoda za unos u SAP'!$M$3:$M$525,"=312")+SUMIFS('ANALITIKA EU PROJEKATA'!$G$3:$G$586,'ANALITIKA EU PROJEKATA'!$A$3:$A$586,"=51",'ANALITIKA EU PROJEKATA'!$K$3:$K$586,"=312")</f>
        <v>4140</v>
      </c>
      <c r="K7" s="138">
        <f>SUMIFS('Plan rashoda za unos u SAP'!$I$3:$I$525,'Plan rashoda za unos u SAP'!$C$3:$C$525,"=52",'Plan rashoda za unos u SAP'!$M$3:$M$525,"=312")+SUMIFS('ANALITIKA EU PROJEKATA'!$G$3:$G$586,'ANALITIKA EU PROJEKATA'!$A$3:$A$586,"=52",'ANALITIKA EU PROJEKATA'!$K$3:$K$586,"=312")</f>
        <v>3389.418854472824</v>
      </c>
      <c r="L7" s="138">
        <f>SUMIFS('Plan rashoda za unos u SAP'!$I$3:$I$525,'Plan rashoda za unos u SAP'!$C$3:$C$525,"=552",'Plan rashoda za unos u SAP'!$M$3:$M$525,"=312")+SUMIFS('ANALITIKA EU PROJEKATA'!$G$3:$G$586,'ANALITIKA EU PROJEKATA'!$A$3:$A$586,"=552",'ANALITIKA EU PROJEKATA'!$K$3:$K$586,"=312")</f>
        <v>0</v>
      </c>
      <c r="M7" s="138">
        <f>SUMIFS('Plan rashoda za unos u SAP'!$I$3:$I$525,'Plan rashoda za unos u SAP'!$C$3:$C$525,"=559",'Plan rashoda za unos u SAP'!$M$3:$M$525,"=312")+SUMIFS('ANALITIKA EU PROJEKATA'!$G$3:$G$586,'ANALITIKA EU PROJEKATA'!$A$3:$A$586,"=559",'ANALITIKA EU PROJEKATA'!$K$3:$K$586,"=312")</f>
        <v>0</v>
      </c>
      <c r="N7" s="138">
        <f>SUMIFS('Plan rashoda za unos u SAP'!$I$3:$I$525,'Plan rashoda za unos u SAP'!$C$3:$C$525,"=561",'Plan rashoda za unos u SAP'!$M$3:$M$525,"=312")+SUMIFS('ANALITIKA EU PROJEKATA'!$G$3:$G$586,'ANALITIKA EU PROJEKATA'!$A$3:$A$586,"=561",'ANALITIKA EU PROJEKATA'!$K$3:$K$586,"=312")</f>
        <v>0</v>
      </c>
      <c r="O7" s="138">
        <f>SUMIFS('Plan rashoda za unos u SAP'!$I$3:$I$525,'Plan rashoda za unos u SAP'!$C$3:$C$525,"=563",'Plan rashoda za unos u SAP'!$M$3:$M$525,"=312")+SUMIFS('ANALITIKA EU PROJEKATA'!$G$3:$G$586,'ANALITIKA EU PROJEKATA'!$A$3:$A$586,"=563",'ANALITIKA EU PROJEKATA'!$K$3:$K$586,"=312")</f>
        <v>0</v>
      </c>
      <c r="P7" s="138">
        <f>SUMIFS('Plan rashoda za unos u SAP'!$I$3:$I$525,'Plan rashoda za unos u SAP'!$C$3:$C$525,"=573",'Plan rashoda za unos u SAP'!$M$3:$M$525,"=312")+SUMIFS('ANALITIKA EU PROJEKATA'!$G$3:$G$586,'ANALITIKA EU PROJEKATA'!$A$3:$A$586,"=573",'ANALITIKA EU PROJEKATA'!$K$3:$K$586,"=312")</f>
        <v>0</v>
      </c>
      <c r="Q7" s="138">
        <f>SUMIFS('Plan rashoda za unos u SAP'!$I$3:$I$525,'Plan rashoda za unos u SAP'!$C$3:$C$525,"=575",'Plan rashoda za unos u SAP'!$M$3:$M$525,"=312")+SUMIFS('ANALITIKA EU PROJEKATA'!$G$3:$G$586,'ANALITIKA EU PROJEKATA'!$A$3:$A$586,"=575",'ANALITIKA EU PROJEKATA'!$K$3:$K$586,"=312")</f>
        <v>0</v>
      </c>
      <c r="R7" s="138">
        <f>SUMIFS('Plan rashoda za unos u SAP'!$I$3:$I$525,'Plan rashoda za unos u SAP'!$C$3:$C$525,"=576",'Plan rashoda za unos u SAP'!$M$3:$M$525,"=312")+SUMIFS('ANALITIKA EU PROJEKATA'!$G$3:$G$586,'ANALITIKA EU PROJEKATA'!$A$3:$A$586,"=576",'ANALITIKA EU PROJEKATA'!$K$3:$K$586,"=312")</f>
        <v>0</v>
      </c>
      <c r="S7" s="138">
        <f>SUMIFS('Plan rashoda za unos u SAP'!$I$3:$I$525,'Plan rashoda za unos u SAP'!$C$3:$C$525,"=581",'Plan rashoda za unos u SAP'!$M$3:$M$525,"=312")+SUMIFS('ANALITIKA EU PROJEKATA'!$G$3:$G$586,'ANALITIKA EU PROJEKATA'!$A$3:$A$586,"=581",'ANALITIKA EU PROJEKATA'!$K$3:$K$586,"=312")</f>
        <v>0</v>
      </c>
      <c r="T7" s="138">
        <f>SUMIFS('Plan rashoda za unos u SAP'!$I$3:$I$525,'Plan rashoda za unos u SAP'!$C$3:$C$525,"=61",'Plan rashoda za unos u SAP'!$M$3:$M$525,"=312")+SUMIFS('ANALITIKA EU PROJEKATA'!$G$3:$G$586,'ANALITIKA EU PROJEKATA'!$A$3:$A$586,"=61",'ANALITIKA EU PROJEKATA'!$K$3:$K$586,"=312")</f>
        <v>0</v>
      </c>
      <c r="U7" s="138">
        <f>SUMIFS('Plan rashoda za unos u SAP'!$I$3:$I$525,'Plan rashoda za unos u SAP'!$C$3:$C$525,"=63",'Plan rashoda za unos u SAP'!$M$3:$M$525,"=312")+SUMIFS('ANALITIKA EU PROJEKATA'!$G$3:$G$586,'ANALITIKA EU PROJEKATA'!$A$3:$A$586,"=63",'ANALITIKA EU PROJEKATA'!$K$3:$K$586,"=312")</f>
        <v>0</v>
      </c>
      <c r="V7" s="138">
        <f>SUMIFS('Plan rashoda za unos u SAP'!$I$3:$I$525,'Plan rashoda za unos u SAP'!$C$3:$C$525,"=71",'Plan rashoda za unos u SAP'!$M$3:$M$525,"=312")+SUMIFS('ANALITIKA EU PROJEKATA'!$G$3:$G$586,'ANALITIKA EU PROJEKATA'!$A$3:$A$586,"=71",'ANALITIKA EU PROJEKATA'!$K$3:$K$586,"=312")</f>
        <v>0</v>
      </c>
      <c r="W7" s="138">
        <f>SUMIFS('Plan rashoda za unos u SAP'!$I$3:$I$525,'Plan rashoda za unos u SAP'!$C$3:$C$525,"=81",'Plan rashoda za unos u SAP'!$M$3:$M$525,"=312")+SUMIFS('ANALITIKA EU PROJEKATA'!$G$3:$G$586,'ANALITIKA EU PROJEKATA'!$A$3:$A$586,"=81",'ANALITIKA EU PROJEKATA'!$K$3:$K$586,"=312")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17121746.903430227</v>
      </c>
      <c r="E8" s="138">
        <f>SUMIFS('Plan rashoda za unos u SAP'!$I$3:$I$525,'Plan rashoda za unos u SAP'!$C$3:$C$525,"=11",'Plan rashoda za unos u SAP'!$M$3:$M$525,"=313")+SUMIFS('ANALITIKA EU PROJEKATA'!$G$3:$G$586,'ANALITIKA EU PROJEKATA'!$A$3:$A$586,"=11",'ANALITIKA EU PROJEKATA'!$K$3:$K$586,"=313")</f>
        <v>15822044</v>
      </c>
      <c r="F8" s="138">
        <f>SUMIFS('Plan rashoda za unos u SAP'!$I$3:$I$525,'Plan rashoda za unos u SAP'!$C$3:$C$525,"=12",'Plan rashoda za unos u SAP'!$M$3:$M$525,"=313")+SUMIFS('ANALITIKA EU PROJEKATA'!$G$3:$G$586,'ANALITIKA EU PROJEKATA'!$A$3:$A$586,"=12",'ANALITIKA EU PROJEKATA'!$K$3:$K$586,"=313")</f>
        <v>5304</v>
      </c>
      <c r="G8" s="138">
        <f>SUMIFS('Plan rashoda za unos u SAP'!$I$3:$I$525,'Plan rashoda za unos u SAP'!$C$3:$C$525,"=31",'Plan rashoda za unos u SAP'!$M$3:$M$525,"=313")+SUMIFS('ANALITIKA EU PROJEKATA'!$G$3:$G$586,'ANALITIKA EU PROJEKATA'!$A$3:$A$586,"=31",'ANALITIKA EU PROJEKATA'!$K$3:$K$586,"=313")</f>
        <v>331650</v>
      </c>
      <c r="H8" s="138">
        <f>SUMIFS('Plan rashoda za unos u SAP'!$I$3:$I$525,'Plan rashoda za unos u SAP'!$C$3:$C$525,"=41",'Plan rashoda za unos u SAP'!$M$3:$M$525,"=313")+SUMIFS('ANALITIKA EU PROJEKATA'!$G$3:$G$586,'ANALITIKA EU PROJEKATA'!$A$3:$A$586,"=41",'ANALITIKA EU PROJEKATA'!$K$3:$K$586,"=313")</f>
        <v>0</v>
      </c>
      <c r="I8" s="138">
        <f>SUMIFS('Plan rashoda za unos u SAP'!$I$3:$I$525,'Plan rashoda za unos u SAP'!$C$3:$C$525,"=43",'Plan rashoda za unos u SAP'!$M$3:$M$525,"=313")+SUMIFS('ANALITIKA EU PROJEKATA'!$G$3:$G$586,'ANALITIKA EU PROJEKATA'!$A$3:$A$586,"=43",'ANALITIKA EU PROJEKATA'!$K$3:$K$586,"=313")</f>
        <v>683612</v>
      </c>
      <c r="J8" s="138">
        <f>SUMIFS('Plan rashoda za unos u SAP'!$I$3:$I$525,'Plan rashoda za unos u SAP'!$C$3:$C$525,"=51",'Plan rashoda za unos u SAP'!$M$3:$M$525,"=313")+SUMIFS('ANALITIKA EU PROJEKATA'!$G$3:$G$586,'ANALITIKA EU PROJEKATA'!$A$3:$A$586,"=51",'ANALITIKA EU PROJEKATA'!$K$3:$K$586,"=313")</f>
        <v>43242.493733212264</v>
      </c>
      <c r="K8" s="138">
        <f>SUMIFS('Plan rashoda za unos u SAP'!$I$3:$I$525,'Plan rashoda za unos u SAP'!$C$3:$C$525,"=52",'Plan rashoda za unos u SAP'!$M$3:$M$525,"=313")+SUMIFS('ANALITIKA EU PROJEKATA'!$G$3:$G$586,'ANALITIKA EU PROJEKATA'!$A$3:$A$586,"=52",'ANALITIKA EU PROJEKATA'!$K$3:$K$586,"=313")</f>
        <v>197364.4096970156</v>
      </c>
      <c r="L8" s="138">
        <f>SUMIFS('Plan rashoda za unos u SAP'!$I$3:$I$525,'Plan rashoda za unos u SAP'!$C$3:$C$525,"=552",'Plan rashoda za unos u SAP'!$M$3:$M$525,"=313")+SUMIFS('ANALITIKA EU PROJEKATA'!$G$3:$G$586,'ANALITIKA EU PROJEKATA'!$A$3:$A$586,"=552",'ANALITIKA EU PROJEKATA'!$K$3:$K$586,"=313")</f>
        <v>0</v>
      </c>
      <c r="M8" s="138">
        <f>SUMIFS('Plan rashoda za unos u SAP'!$I$3:$I$525,'Plan rashoda za unos u SAP'!$C$3:$C$525,"=559",'Plan rashoda za unos u SAP'!$M$3:$M$525,"=313")+SUMIFS('ANALITIKA EU PROJEKATA'!$G$3:$G$586,'ANALITIKA EU PROJEKATA'!$A$3:$A$586,"=559",'ANALITIKA EU PROJEKATA'!$K$3:$K$586,"=313")</f>
        <v>0</v>
      </c>
      <c r="N8" s="138">
        <f>SUMIFS('Plan rashoda za unos u SAP'!$I$3:$I$525,'Plan rashoda za unos u SAP'!$C$3:$C$525,"=561",'Plan rashoda za unos u SAP'!$M$3:$M$525,"=313")+SUMIFS('ANALITIKA EU PROJEKATA'!$G$3:$G$586,'ANALITIKA EU PROJEKATA'!$A$3:$A$586,"=561",'ANALITIKA EU PROJEKATA'!$K$3:$K$586,"=313")</f>
        <v>30056</v>
      </c>
      <c r="O8" s="138">
        <f>SUMIFS('Plan rashoda za unos u SAP'!$I$3:$I$525,'Plan rashoda za unos u SAP'!$C$3:$C$525,"=563",'Plan rashoda za unos u SAP'!$M$3:$M$525,"=313")+SUMIFS('ANALITIKA EU PROJEKATA'!$G$3:$G$586,'ANALITIKA EU PROJEKATA'!$A$3:$A$586,"=563",'ANALITIKA EU PROJEKATA'!$K$3:$K$586,"=313")</f>
        <v>0</v>
      </c>
      <c r="P8" s="138">
        <f>SUMIFS('Plan rashoda za unos u SAP'!$I$3:$I$525,'Plan rashoda za unos u SAP'!$C$3:$C$525,"=573",'Plan rashoda za unos u SAP'!$M$3:$M$525,"=313")+SUMIFS('ANALITIKA EU PROJEKATA'!$G$3:$G$586,'ANALITIKA EU PROJEKATA'!$A$3:$A$586,"=573",'ANALITIKA EU PROJEKATA'!$K$3:$K$586,"=313")</f>
        <v>0</v>
      </c>
      <c r="Q8" s="138">
        <f>SUMIFS('Plan rashoda za unos u SAP'!$I$3:$I$525,'Plan rashoda za unos u SAP'!$C$3:$C$525,"=575",'Plan rashoda za unos u SAP'!$M$3:$M$525,"=313")+SUMIFS('ANALITIKA EU PROJEKATA'!$G$3:$G$586,'ANALITIKA EU PROJEKATA'!$A$3:$A$586,"=575",'ANALITIKA EU PROJEKATA'!$K$3:$K$586,"=313")</f>
        <v>0</v>
      </c>
      <c r="R8" s="138">
        <f>SUMIFS('Plan rashoda za unos u SAP'!$I$3:$I$525,'Plan rashoda za unos u SAP'!$C$3:$C$525,"=576",'Plan rashoda za unos u SAP'!$M$3:$M$525,"=313")+SUMIFS('ANALITIKA EU PROJEKATA'!$G$3:$G$586,'ANALITIKA EU PROJEKATA'!$A$3:$A$586,"=576",'ANALITIKA EU PROJEKATA'!$K$3:$K$586,"=313")</f>
        <v>0</v>
      </c>
      <c r="S8" s="138">
        <f>SUMIFS('Plan rashoda za unos u SAP'!$I$3:$I$525,'Plan rashoda za unos u SAP'!$C$3:$C$525,"=581",'Plan rashoda za unos u SAP'!$M$3:$M$525,"=313")+SUMIFS('ANALITIKA EU PROJEKATA'!$G$3:$G$586,'ANALITIKA EU PROJEKATA'!$A$3:$A$586,"=581",'ANALITIKA EU PROJEKATA'!$K$3:$K$586,"=313")</f>
        <v>0</v>
      </c>
      <c r="T8" s="138">
        <f>SUMIFS('Plan rashoda za unos u SAP'!$I$3:$I$525,'Plan rashoda za unos u SAP'!$C$3:$C$525,"=61",'Plan rashoda za unos u SAP'!$M$3:$M$525,"=313")+SUMIFS('ANALITIKA EU PROJEKATA'!$G$3:$G$586,'ANALITIKA EU PROJEKATA'!$A$3:$A$586,"=61",'ANALITIKA EU PROJEKATA'!$K$3:$K$586,"=313")</f>
        <v>8474</v>
      </c>
      <c r="U8" s="138">
        <f>SUMIFS('Plan rashoda za unos u SAP'!$I$3:$I$525,'Plan rashoda za unos u SAP'!$C$3:$C$525,"=63",'Plan rashoda za unos u SAP'!$M$3:$M$525,"=313")+SUMIFS('ANALITIKA EU PROJEKATA'!$G$3:$G$586,'ANALITIKA EU PROJEKATA'!$A$3:$A$586,"=63",'ANALITIKA EU PROJEKATA'!$K$3:$K$586,"=313")</f>
        <v>0</v>
      </c>
      <c r="V8" s="138">
        <f>SUMIFS('Plan rashoda za unos u SAP'!$I$3:$I$525,'Plan rashoda za unos u SAP'!$C$3:$C$525,"=71",'Plan rashoda za unos u SAP'!$M$3:$M$525,"=313")+SUMIFS('ANALITIKA EU PROJEKATA'!$G$3:$G$586,'ANALITIKA EU PROJEKATA'!$A$3:$A$586,"=71",'ANALITIKA EU PROJEKATA'!$K$3:$K$586,"=313")</f>
        <v>0</v>
      </c>
      <c r="W8" s="138">
        <f>SUMIFS('Plan rashoda za unos u SAP'!$I$3:$I$525,'Plan rashoda za unos u SAP'!$C$3:$C$525,"=81",'Plan rashoda za unos u SAP'!$M$3:$M$525,"=313")+SUMIFS('ANALITIKA EU PROJEKATA'!$G$3:$G$586,'ANALITIKA EU PROJEKATA'!$A$3:$A$586,"=81",'ANALITIKA EU PROJEKATA'!$K$3:$K$586,"=313")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32149803.627689317</v>
      </c>
      <c r="E9" s="78">
        <f t="shared" ref="E9:W9" si="4">SUM(E10:E14)</f>
        <v>11063032.615575142</v>
      </c>
      <c r="F9" s="78">
        <f t="shared" si="4"/>
        <v>0</v>
      </c>
      <c r="G9" s="78">
        <f>SUM(G10:G14)</f>
        <v>9015641</v>
      </c>
      <c r="H9" s="78">
        <f>SUM(H10:H14)</f>
        <v>0</v>
      </c>
      <c r="I9" s="78">
        <f t="shared" si="4"/>
        <v>5873852</v>
      </c>
      <c r="J9" s="78">
        <f t="shared" si="4"/>
        <v>1360364.3824139035</v>
      </c>
      <c r="K9" s="78">
        <f t="shared" si="4"/>
        <v>4560679.6297002714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196000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40234</v>
      </c>
      <c r="U9" s="78">
        <f t="shared" si="4"/>
        <v>0</v>
      </c>
      <c r="V9" s="78">
        <f t="shared" si="4"/>
        <v>40000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5577317.7038599811</v>
      </c>
      <c r="E10" s="138">
        <f>SUMIFS('Plan rashoda za unos u SAP'!$I$3:$I$525,'Plan rashoda za unos u SAP'!$C$3:$C$525,"=11",'Plan rashoda za unos u SAP'!$M$3:$M$525,"=321")+SUMIFS('ANALITIKA EU PROJEKATA'!$G$3:$G$586,'ANALITIKA EU PROJEKATA'!$A$3:$A$586,"=11",'ANALITIKA EU PROJEKATA'!$K$3:$K$586,"=321")</f>
        <v>2085429</v>
      </c>
      <c r="F10" s="138">
        <f>SUMIFS('Plan rashoda za unos u SAP'!$I$3:$I$525,'Plan rashoda za unos u SAP'!$C$3:$C$525,"=12",'Plan rashoda za unos u SAP'!$M$3:$M$525,"=321")+SUMIFS('ANALITIKA EU PROJEKATA'!$G$3:$G$586,'ANALITIKA EU PROJEKATA'!$A$3:$A$586,"=12",'ANALITIKA EU PROJEKATA'!$K$3:$K$586,"=321")</f>
        <v>0</v>
      </c>
      <c r="G10" s="138">
        <f>SUMIFS('Plan rashoda za unos u SAP'!$I$3:$I$525,'Plan rashoda za unos u SAP'!$C$3:$C$525,"=31",'Plan rashoda za unos u SAP'!$M$3:$M$525,"=321")+SUMIFS('ANALITIKA EU PROJEKATA'!$G$3:$G$586,'ANALITIKA EU PROJEKATA'!$A$3:$A$586,"=31",'ANALITIKA EU PROJEKATA'!$K$3:$K$586,"=321")</f>
        <v>600000</v>
      </c>
      <c r="H10" s="138">
        <f>SUMIFS('Plan rashoda za unos u SAP'!$I$3:$I$525,'Plan rashoda za unos u SAP'!$C$3:$C$525,"=41",'Plan rashoda za unos u SAP'!$M$3:$M$525,"=321")+SUMIFS('ANALITIKA EU PROJEKATA'!$G$3:$G$586,'ANALITIKA EU PROJEKATA'!$A$3:$A$586,"=41",'ANALITIKA EU PROJEKATA'!$K$3:$K$586,"=321")</f>
        <v>0</v>
      </c>
      <c r="I10" s="138">
        <f>SUMIFS('Plan rashoda za unos u SAP'!$I$3:$I$525,'Plan rashoda za unos u SAP'!$C$3:$C$525,"=43",'Plan rashoda za unos u SAP'!$M$3:$M$525,"=321")+SUMIFS('ANALITIKA EU PROJEKATA'!$G$3:$G$586,'ANALITIKA EU PROJEKATA'!$A$3:$A$586,"=43",'ANALITIKA EU PROJEKATA'!$K$3:$K$586,"=321")</f>
        <v>824258</v>
      </c>
      <c r="J10" s="138">
        <f>SUMIFS('Plan rashoda za unos u SAP'!$I$3:$I$525,'Plan rashoda za unos u SAP'!$C$3:$C$525,"=51",'Plan rashoda za unos u SAP'!$M$3:$M$525,"=321")+SUMIFS('ANALITIKA EU PROJEKATA'!$G$3:$G$586,'ANALITIKA EU PROJEKATA'!$A$3:$A$586,"=51",'ANALITIKA EU PROJEKATA'!$K$3:$K$586,"=321")</f>
        <v>1115572.828011645</v>
      </c>
      <c r="K10" s="138">
        <f>SUMIFS('Plan rashoda za unos u SAP'!$I$3:$I$525,'Plan rashoda za unos u SAP'!$C$3:$C$525,"=52",'Plan rashoda za unos u SAP'!$M$3:$M$525,"=321")+SUMIFS('ANALITIKA EU PROJEKATA'!$G$3:$G$586,'ANALITIKA EU PROJEKATA'!$A$3:$A$586,"=52",'ANALITIKA EU PROJEKATA'!$K$3:$K$586,"=321")</f>
        <v>948933.87584833661</v>
      </c>
      <c r="L10" s="138">
        <f>SUMIFS('Plan rashoda za unos u SAP'!$I$3:$I$525,'Plan rashoda za unos u SAP'!$C$3:$C$525,"=552",'Plan rashoda za unos u SAP'!$M$3:$M$525,"=321")+SUMIFS('ANALITIKA EU PROJEKATA'!$G$3:$G$586,'ANALITIKA EU PROJEKATA'!$A$3:$A$586,"=552",'ANALITIKA EU PROJEKATA'!$K$3:$K$586,"=321")</f>
        <v>0</v>
      </c>
      <c r="M10" s="138">
        <f>SUMIFS('Plan rashoda za unos u SAP'!$I$3:$I$525,'Plan rashoda za unos u SAP'!$C$3:$C$525,"=559",'Plan rashoda za unos u SAP'!$M$3:$M$525,"=321")+SUMIFS('ANALITIKA EU PROJEKATA'!$G$3:$G$586,'ANALITIKA EU PROJEKATA'!$A$3:$A$586,"=559",'ANALITIKA EU PROJEKATA'!$K$3:$K$586,"=321")</f>
        <v>0</v>
      </c>
      <c r="N10" s="138">
        <f>SUMIFS('Plan rashoda za unos u SAP'!$I$3:$I$525,'Plan rashoda za unos u SAP'!$C$3:$C$525,"=561",'Plan rashoda za unos u SAP'!$M$3:$M$525,"=321")+SUMIFS('ANALITIKA EU PROJEKATA'!$G$3:$G$586,'ANALITIKA EU PROJEKATA'!$A$3:$A$586,"=561",'ANALITIKA EU PROJEKATA'!$K$3:$K$586,"=321")</f>
        <v>0</v>
      </c>
      <c r="O10" s="138">
        <f>SUMIFS('Plan rashoda za unos u SAP'!$I$3:$I$525,'Plan rashoda za unos u SAP'!$C$3:$C$525,"=563",'Plan rashoda za unos u SAP'!$M$3:$M$525,"=321")+SUMIFS('ANALITIKA EU PROJEKATA'!$G$3:$G$586,'ANALITIKA EU PROJEKATA'!$A$3:$A$586,"=563",'ANALITIKA EU PROJEKATA'!$K$3:$K$586,"=321")</f>
        <v>0</v>
      </c>
      <c r="P10" s="138">
        <f>SUMIFS('Plan rashoda za unos u SAP'!$I$3:$I$525,'Plan rashoda za unos u SAP'!$C$3:$C$525,"=573",'Plan rashoda za unos u SAP'!$M$3:$M$525,"=321")+SUMIFS('ANALITIKA EU PROJEKATA'!$G$3:$G$586,'ANALITIKA EU PROJEKATA'!$A$3:$A$586,"=573",'ANALITIKA EU PROJEKATA'!$K$3:$K$586,"=321")</f>
        <v>0</v>
      </c>
      <c r="Q10" s="138">
        <f>SUMIFS('Plan rashoda za unos u SAP'!$I$3:$I$525,'Plan rashoda za unos u SAP'!$C$3:$C$525,"=575",'Plan rashoda za unos u SAP'!$M$3:$M$525,"=321")+SUMIFS('ANALITIKA EU PROJEKATA'!$G$3:$G$586,'ANALITIKA EU PROJEKATA'!$A$3:$A$586,"=575",'ANALITIKA EU PROJEKATA'!$K$3:$K$586,"=321")</f>
        <v>0</v>
      </c>
      <c r="R10" s="138">
        <f>SUMIFS('Plan rashoda za unos u SAP'!$I$3:$I$525,'Plan rashoda za unos u SAP'!$C$3:$C$525,"=576",'Plan rashoda za unos u SAP'!$M$3:$M$525,"=321")+SUMIFS('ANALITIKA EU PROJEKATA'!$G$3:$G$586,'ANALITIKA EU PROJEKATA'!$A$3:$A$586,"=576",'ANALITIKA EU PROJEKATA'!$K$3:$K$586,"=321")</f>
        <v>0</v>
      </c>
      <c r="S10" s="138">
        <f>SUMIFS('Plan rashoda za unos u SAP'!$I$3:$I$525,'Plan rashoda za unos u SAP'!$C$3:$C$525,"=581",'Plan rashoda za unos u SAP'!$M$3:$M$525,"=321")+SUMIFS('ANALITIKA EU PROJEKATA'!$G$3:$G$586,'ANALITIKA EU PROJEKATA'!$A$3:$A$586,"=581",'ANALITIKA EU PROJEKATA'!$K$3:$K$586,"=321")</f>
        <v>0</v>
      </c>
      <c r="T10" s="138">
        <f>SUMIFS('Plan rashoda za unos u SAP'!$I$3:$I$525,'Plan rashoda za unos u SAP'!$C$3:$C$525,"=61",'Plan rashoda za unos u SAP'!$M$3:$M$525,"=321")+SUMIFS('ANALITIKA EU PROJEKATA'!$G$3:$G$586,'ANALITIKA EU PROJEKATA'!$A$3:$A$586,"=61",'ANALITIKA EU PROJEKATA'!$K$3:$K$586,"=321")</f>
        <v>3124</v>
      </c>
      <c r="U10" s="138">
        <f>SUMIFS('Plan rashoda za unos u SAP'!$I$3:$I$525,'Plan rashoda za unos u SAP'!$C$3:$C$525,"=63",'Plan rashoda za unos u SAP'!$M$3:$M$525,"=321")+SUMIFS('ANALITIKA EU PROJEKATA'!$G$3:$G$586,'ANALITIKA EU PROJEKATA'!$A$3:$A$586,"=63",'ANALITIKA EU PROJEKATA'!$K$3:$K$586,"=321")</f>
        <v>0</v>
      </c>
      <c r="V10" s="138">
        <f>SUMIFS('Plan rashoda za unos u SAP'!$I$3:$I$525,'Plan rashoda za unos u SAP'!$C$3:$C$525,"=71",'Plan rashoda za unos u SAP'!$M$3:$M$525,"=321")+SUMIFS('ANALITIKA EU PROJEKATA'!$G$3:$G$586,'ANALITIKA EU PROJEKATA'!$A$3:$A$586,"=71",'ANALITIKA EU PROJEKATA'!$K$3:$K$586,"=321")</f>
        <v>0</v>
      </c>
      <c r="W10" s="138">
        <f>SUMIFS('Plan rashoda za unos u SAP'!$I$3:$I$525,'Plan rashoda za unos u SAP'!$C$3:$C$525,"=81",'Plan rashoda za unos u SAP'!$M$3:$M$525,"=321")+SUMIFS('ANALITIKA EU PROJEKATA'!$G$3:$G$586,'ANALITIKA EU PROJEKATA'!$A$3:$A$586,"=81",'ANALITIKA EU PROJEKATA'!$K$3:$K$586,"=321")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3931316.3723634463</v>
      </c>
      <c r="E11" s="138">
        <f>SUMIFS('Plan rashoda za unos u SAP'!$I$3:$I$525,'Plan rashoda za unos u SAP'!$C$3:$C$525,"=11",'Plan rashoda za unos u SAP'!$M$3:$M$525,"=322")+SUMIFS('ANALITIKA EU PROJEKATA'!$G$3:$G$586,'ANALITIKA EU PROJEKATA'!$A$3:$A$586,"=11",'ANALITIKA EU PROJEKATA'!$K$3:$K$586,"=322")</f>
        <v>1559726</v>
      </c>
      <c r="F11" s="138">
        <f>SUMIFS('Plan rashoda za unos u SAP'!$I$3:$I$525,'Plan rashoda za unos u SAP'!$C$3:$C$525,"=12",'Plan rashoda za unos u SAP'!$M$3:$M$525,"=322")+SUMIFS('ANALITIKA EU PROJEKATA'!$G$3:$G$586,'ANALITIKA EU PROJEKATA'!$A$3:$A$586,"=12",'ANALITIKA EU PROJEKATA'!$K$3:$K$586,"=322")</f>
        <v>0</v>
      </c>
      <c r="G11" s="138">
        <f>SUMIFS('Plan rashoda za unos u SAP'!$I$3:$I$525,'Plan rashoda za unos u SAP'!$C$3:$C$525,"=31",'Plan rashoda za unos u SAP'!$M$3:$M$525,"=322")+SUMIFS('ANALITIKA EU PROJEKATA'!$G$3:$G$586,'ANALITIKA EU PROJEKATA'!$A$3:$A$586,"=31",'ANALITIKA EU PROJEKATA'!$K$3:$K$586,"=322")</f>
        <v>1389150</v>
      </c>
      <c r="H11" s="138">
        <f>SUMIFS('Plan rashoda za unos u SAP'!$I$3:$I$525,'Plan rashoda za unos u SAP'!$C$3:$C$525,"=41",'Plan rashoda za unos u SAP'!$M$3:$M$525,"=322")+SUMIFS('ANALITIKA EU PROJEKATA'!$G$3:$G$586,'ANALITIKA EU PROJEKATA'!$A$3:$A$586,"=41",'ANALITIKA EU PROJEKATA'!$K$3:$K$586,"=322")</f>
        <v>0</v>
      </c>
      <c r="I11" s="138">
        <f>SUMIFS('Plan rashoda za unos u SAP'!$I$3:$I$525,'Plan rashoda za unos u SAP'!$C$3:$C$525,"=43",'Plan rashoda za unos u SAP'!$M$3:$M$525,"=322")+SUMIFS('ANALITIKA EU PROJEKATA'!$G$3:$G$586,'ANALITIKA EU PROJEKATA'!$A$3:$A$586,"=43",'ANALITIKA EU PROJEKATA'!$K$3:$K$586,"=322")</f>
        <v>363902</v>
      </c>
      <c r="J11" s="138">
        <f>SUMIFS('Plan rashoda za unos u SAP'!$I$3:$I$525,'Plan rashoda za unos u SAP'!$C$3:$C$525,"=51",'Plan rashoda za unos u SAP'!$M$3:$M$525,"=322")+SUMIFS('ANALITIKA EU PROJEKATA'!$G$3:$G$586,'ANALITIKA EU PROJEKATA'!$A$3:$A$586,"=51",'ANALITIKA EU PROJEKATA'!$K$3:$K$586,"=322")</f>
        <v>8666.3811524196863</v>
      </c>
      <c r="K11" s="138">
        <f>SUMIFS('Plan rashoda za unos u SAP'!$I$3:$I$525,'Plan rashoda za unos u SAP'!$C$3:$C$525,"=52",'Plan rashoda za unos u SAP'!$M$3:$M$525,"=322")+SUMIFS('ANALITIKA EU PROJEKATA'!$G$3:$G$586,'ANALITIKA EU PROJEKATA'!$A$3:$A$586,"=52",'ANALITIKA EU PROJEKATA'!$K$3:$K$586,"=322")</f>
        <v>600892.99121102632</v>
      </c>
      <c r="L11" s="138">
        <f>SUMIFS('Plan rashoda za unos u SAP'!$I$3:$I$525,'Plan rashoda za unos u SAP'!$C$3:$C$525,"=552",'Plan rashoda za unos u SAP'!$M$3:$M$525,"=322")+SUMIFS('ANALITIKA EU PROJEKATA'!$G$3:$G$586,'ANALITIKA EU PROJEKATA'!$A$3:$A$586,"=552",'ANALITIKA EU PROJEKATA'!$K$3:$K$586,"=322")</f>
        <v>0</v>
      </c>
      <c r="M11" s="138">
        <f>SUMIFS('Plan rashoda za unos u SAP'!$I$3:$I$525,'Plan rashoda za unos u SAP'!$C$3:$C$525,"=559",'Plan rashoda za unos u SAP'!$M$3:$M$525,"=322")+SUMIFS('ANALITIKA EU PROJEKATA'!$G$3:$G$586,'ANALITIKA EU PROJEKATA'!$A$3:$A$586,"=559",'ANALITIKA EU PROJEKATA'!$K$3:$K$586,"=322")</f>
        <v>0</v>
      </c>
      <c r="N11" s="138">
        <f>SUMIFS('Plan rashoda za unos u SAP'!$I$3:$I$525,'Plan rashoda za unos u SAP'!$C$3:$C$525,"=561",'Plan rashoda za unos u SAP'!$M$3:$M$525,"=322")+SUMIFS('ANALITIKA EU PROJEKATA'!$G$3:$G$586,'ANALITIKA EU PROJEKATA'!$A$3:$A$586,"=561",'ANALITIKA EU PROJEKATA'!$K$3:$K$586,"=322")</f>
        <v>0</v>
      </c>
      <c r="O11" s="138">
        <f>SUMIFS('Plan rashoda za unos u SAP'!$I$3:$I$525,'Plan rashoda za unos u SAP'!$C$3:$C$525,"=563",'Plan rashoda za unos u SAP'!$M$3:$M$525,"=322")+SUMIFS('ANALITIKA EU PROJEKATA'!$G$3:$G$586,'ANALITIKA EU PROJEKATA'!$A$3:$A$586,"=563",'ANALITIKA EU PROJEKATA'!$K$3:$K$586,"=322")</f>
        <v>0</v>
      </c>
      <c r="P11" s="138">
        <f>SUMIFS('Plan rashoda za unos u SAP'!$I$3:$I$525,'Plan rashoda za unos u SAP'!$C$3:$C$525,"=573",'Plan rashoda za unos u SAP'!$M$3:$M$525,"=322")+SUMIFS('ANALITIKA EU PROJEKATA'!$G$3:$G$586,'ANALITIKA EU PROJEKATA'!$A$3:$A$586,"=573",'ANALITIKA EU PROJEKATA'!$K$3:$K$586,"=322")</f>
        <v>0</v>
      </c>
      <c r="Q11" s="138">
        <f>SUMIFS('Plan rashoda za unos u SAP'!$I$3:$I$525,'Plan rashoda za unos u SAP'!$C$3:$C$525,"=575",'Plan rashoda za unos u SAP'!$M$3:$M$525,"=322")+SUMIFS('ANALITIKA EU PROJEKATA'!$G$3:$G$586,'ANALITIKA EU PROJEKATA'!$A$3:$A$586,"=575",'ANALITIKA EU PROJEKATA'!$K$3:$K$586,"=322")</f>
        <v>0</v>
      </c>
      <c r="R11" s="138">
        <f>SUMIFS('Plan rashoda za unos u SAP'!$I$3:$I$525,'Plan rashoda za unos u SAP'!$C$3:$C$525,"=576",'Plan rashoda za unos u SAP'!$M$3:$M$525,"=322")+SUMIFS('ANALITIKA EU PROJEKATA'!$G$3:$G$586,'ANALITIKA EU PROJEKATA'!$A$3:$A$586,"=576",'ANALITIKA EU PROJEKATA'!$K$3:$K$586,"=322")</f>
        <v>0</v>
      </c>
      <c r="S11" s="138">
        <f>SUMIFS('Plan rashoda za unos u SAP'!$I$3:$I$525,'Plan rashoda za unos u SAP'!$C$3:$C$525,"=581",'Plan rashoda za unos u SAP'!$M$3:$M$525,"=322")+SUMIFS('ANALITIKA EU PROJEKATA'!$G$3:$G$586,'ANALITIKA EU PROJEKATA'!$A$3:$A$586,"=581",'ANALITIKA EU PROJEKATA'!$K$3:$K$586,"=322")</f>
        <v>0</v>
      </c>
      <c r="T11" s="138">
        <f>SUMIFS('Plan rashoda za unos u SAP'!$I$3:$I$525,'Plan rashoda za unos u SAP'!$C$3:$C$525,"=61",'Plan rashoda za unos u SAP'!$M$3:$M$525,"=322")+SUMIFS('ANALITIKA EU PROJEKATA'!$G$3:$G$586,'ANALITIKA EU PROJEKATA'!$A$3:$A$586,"=61",'ANALITIKA EU PROJEKATA'!$K$3:$K$586,"=322")</f>
        <v>8979</v>
      </c>
      <c r="U11" s="138">
        <f>SUMIFS('Plan rashoda za unos u SAP'!$I$3:$I$525,'Plan rashoda za unos u SAP'!$C$3:$C$525,"=63",'Plan rashoda za unos u SAP'!$M$3:$M$525,"=322")+SUMIFS('ANALITIKA EU PROJEKATA'!$G$3:$G$586,'ANALITIKA EU PROJEKATA'!$A$3:$A$586,"=63",'ANALITIKA EU PROJEKATA'!$K$3:$K$586,"=322")</f>
        <v>0</v>
      </c>
      <c r="V11" s="138">
        <f>SUMIFS('Plan rashoda za unos u SAP'!$I$3:$I$525,'Plan rashoda za unos u SAP'!$C$3:$C$525,"=71",'Plan rashoda za unos u SAP'!$M$3:$M$525,"=322")+SUMIFS('ANALITIKA EU PROJEKATA'!$G$3:$G$586,'ANALITIKA EU PROJEKATA'!$A$3:$A$586,"=71",'ANALITIKA EU PROJEKATA'!$K$3:$K$586,"=322")</f>
        <v>0</v>
      </c>
      <c r="W11" s="138">
        <f>SUMIFS('Plan rashoda za unos u SAP'!$I$3:$I$525,'Plan rashoda za unos u SAP'!$C$3:$C$525,"=81",'Plan rashoda za unos u SAP'!$M$3:$M$525,"=322")+SUMIFS('ANALITIKA EU PROJEKATA'!$G$3:$G$586,'ANALITIKA EU PROJEKATA'!$A$3:$A$586,"=81",'ANALITIKA EU PROJEKATA'!$K$3:$K$586,"=322")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19050041.551465888</v>
      </c>
      <c r="E12" s="138">
        <f>SUMIFS('Plan rashoda za unos u SAP'!$I$3:$I$525,'Plan rashoda za unos u SAP'!$C$3:$C$525,"=11",'Plan rashoda za unos u SAP'!$M$3:$M$525,"=323")+SUMIFS('ANALITIKA EU PROJEKATA'!$G$3:$G$586,'ANALITIKA EU PROJEKATA'!$A$3:$A$586,"=11",'ANALITIKA EU PROJEKATA'!$K$3:$K$586,"=323")</f>
        <v>6637677.6155751431</v>
      </c>
      <c r="F12" s="138">
        <f>SUMIFS('Plan rashoda za unos u SAP'!$I$3:$I$525,'Plan rashoda za unos u SAP'!$C$3:$C$525,"=12",'Plan rashoda za unos u SAP'!$M$3:$M$525,"=323")+SUMIFS('ANALITIKA EU PROJEKATA'!$G$3:$G$586,'ANALITIKA EU PROJEKATA'!$A$3:$A$586,"=12",'ANALITIKA EU PROJEKATA'!$K$3:$K$586,"=323")</f>
        <v>0</v>
      </c>
      <c r="G12" s="138">
        <f>SUMIFS('Plan rashoda za unos u SAP'!$I$3:$I$525,'Plan rashoda za unos u SAP'!$C$3:$C$525,"=31",'Plan rashoda za unos u SAP'!$M$3:$M$525,"=323")+SUMIFS('ANALITIKA EU PROJEKATA'!$G$3:$G$586,'ANALITIKA EU PROJEKATA'!$A$3:$A$586,"=31",'ANALITIKA EU PROJEKATA'!$K$3:$K$586,"=323")</f>
        <v>6421801</v>
      </c>
      <c r="H12" s="138">
        <f>SUMIFS('Plan rashoda za unos u SAP'!$I$3:$I$525,'Plan rashoda za unos u SAP'!$C$3:$C$525,"=41",'Plan rashoda za unos u SAP'!$M$3:$M$525,"=323")+SUMIFS('ANALITIKA EU PROJEKATA'!$G$3:$G$586,'ANALITIKA EU PROJEKATA'!$A$3:$A$586,"=41",'ANALITIKA EU PROJEKATA'!$K$3:$K$586,"=323")</f>
        <v>0</v>
      </c>
      <c r="I12" s="138">
        <f>SUMIFS('Plan rashoda za unos u SAP'!$I$3:$I$525,'Plan rashoda za unos u SAP'!$C$3:$C$525,"=43",'Plan rashoda za unos u SAP'!$M$3:$M$525,"=323")+SUMIFS('ANALITIKA EU PROJEKATA'!$G$3:$G$586,'ANALITIKA EU PROJEKATA'!$A$3:$A$586,"=43",'ANALITIKA EU PROJEKATA'!$K$3:$K$586,"=323")</f>
        <v>2621234</v>
      </c>
      <c r="J12" s="138">
        <f>SUMIFS('Plan rashoda za unos u SAP'!$I$3:$I$525,'Plan rashoda za unos u SAP'!$C$3:$C$525,"=51",'Plan rashoda za unos u SAP'!$M$3:$M$525,"=323")+SUMIFS('ANALITIKA EU PROJEKATA'!$G$3:$G$586,'ANALITIKA EU PROJEKATA'!$A$3:$A$586,"=51",'ANALITIKA EU PROJEKATA'!$K$3:$K$586,"=323")</f>
        <v>236125.17324983896</v>
      </c>
      <c r="K12" s="138">
        <f>SUMIFS('Plan rashoda za unos u SAP'!$I$3:$I$525,'Plan rashoda za unos u SAP'!$C$3:$C$525,"=52",'Plan rashoda za unos u SAP'!$M$3:$M$525,"=323")+SUMIFS('ANALITIKA EU PROJEKATA'!$G$3:$G$586,'ANALITIKA EU PROJEKATA'!$A$3:$A$586,"=52",'ANALITIKA EU PROJEKATA'!$K$3:$K$586,"=323")</f>
        <v>2949449.7626409079</v>
      </c>
      <c r="L12" s="138">
        <f>SUMIFS('Plan rashoda za unos u SAP'!$I$3:$I$525,'Plan rashoda za unos u SAP'!$C$3:$C$525,"=552",'Plan rashoda za unos u SAP'!$M$3:$M$525,"=323")+SUMIFS('ANALITIKA EU PROJEKATA'!$G$3:$G$586,'ANALITIKA EU PROJEKATA'!$A$3:$A$586,"=552",'ANALITIKA EU PROJEKATA'!$K$3:$K$586,"=323")</f>
        <v>0</v>
      </c>
      <c r="M12" s="138">
        <f>SUMIFS('Plan rashoda za unos u SAP'!$I$3:$I$525,'Plan rashoda za unos u SAP'!$C$3:$C$525,"=559",'Plan rashoda za unos u SAP'!$M$3:$M$525,"=323")+SUMIFS('ANALITIKA EU PROJEKATA'!$G$3:$G$586,'ANALITIKA EU PROJEKATA'!$A$3:$A$586,"=559",'ANALITIKA EU PROJEKATA'!$K$3:$K$586,"=323")</f>
        <v>0</v>
      </c>
      <c r="N12" s="138">
        <f>SUMIFS('Plan rashoda za unos u SAP'!$I$3:$I$525,'Plan rashoda za unos u SAP'!$C$3:$C$525,"=561",'Plan rashoda za unos u SAP'!$M$3:$M$525,"=323")+SUMIFS('ANALITIKA EU PROJEKATA'!$G$3:$G$586,'ANALITIKA EU PROJEKATA'!$A$3:$A$586,"=561",'ANALITIKA EU PROJEKATA'!$K$3:$K$586,"=323")</f>
        <v>0</v>
      </c>
      <c r="O12" s="138">
        <f>SUMIFS('Plan rashoda za unos u SAP'!$I$3:$I$525,'Plan rashoda za unos u SAP'!$C$3:$C$525,"=563",'Plan rashoda za unos u SAP'!$M$3:$M$525,"=323")+SUMIFS('ANALITIKA EU PROJEKATA'!$G$3:$G$586,'ANALITIKA EU PROJEKATA'!$A$3:$A$586,"=563",'ANALITIKA EU PROJEKATA'!$K$3:$K$586,"=323")</f>
        <v>125000</v>
      </c>
      <c r="P12" s="138">
        <f>SUMIFS('Plan rashoda za unos u SAP'!$I$3:$I$525,'Plan rashoda za unos u SAP'!$C$3:$C$525,"=573",'Plan rashoda za unos u SAP'!$M$3:$M$525,"=323")+SUMIFS('ANALITIKA EU PROJEKATA'!$G$3:$G$586,'ANALITIKA EU PROJEKATA'!$A$3:$A$586,"=573",'ANALITIKA EU PROJEKATA'!$K$3:$K$586,"=323")</f>
        <v>0</v>
      </c>
      <c r="Q12" s="138">
        <f>SUMIFS('Plan rashoda za unos u SAP'!$I$3:$I$525,'Plan rashoda za unos u SAP'!$C$3:$C$525,"=575",'Plan rashoda za unos u SAP'!$M$3:$M$525,"=323")+SUMIFS('ANALITIKA EU PROJEKATA'!$G$3:$G$586,'ANALITIKA EU PROJEKATA'!$A$3:$A$586,"=575",'ANALITIKA EU PROJEKATA'!$K$3:$K$586,"=323")</f>
        <v>0</v>
      </c>
      <c r="R12" s="138">
        <f>SUMIFS('Plan rashoda za unos u SAP'!$I$3:$I$525,'Plan rashoda za unos u SAP'!$C$3:$C$525,"=576",'Plan rashoda za unos u SAP'!$M$3:$M$525,"=323")+SUMIFS('ANALITIKA EU PROJEKATA'!$G$3:$G$586,'ANALITIKA EU PROJEKATA'!$A$3:$A$586,"=576",'ANALITIKA EU PROJEKATA'!$K$3:$K$586,"=323")</f>
        <v>0</v>
      </c>
      <c r="S12" s="138">
        <f>SUMIFS('Plan rashoda za unos u SAP'!$I$3:$I$525,'Plan rashoda za unos u SAP'!$C$3:$C$525,"=581",'Plan rashoda za unos u SAP'!$M$3:$M$525,"=323")+SUMIFS('ANALITIKA EU PROJEKATA'!$G$3:$G$586,'ANALITIKA EU PROJEKATA'!$A$3:$A$586,"=581",'ANALITIKA EU PROJEKATA'!$K$3:$K$586,"=323")</f>
        <v>0</v>
      </c>
      <c r="T12" s="138">
        <f>SUMIFS('Plan rashoda za unos u SAP'!$I$3:$I$525,'Plan rashoda za unos u SAP'!$C$3:$C$525,"=61",'Plan rashoda za unos u SAP'!$M$3:$M$525,"=323")+SUMIFS('ANALITIKA EU PROJEKATA'!$G$3:$G$586,'ANALITIKA EU PROJEKATA'!$A$3:$A$586,"=61",'ANALITIKA EU PROJEKATA'!$K$3:$K$586,"=323")</f>
        <v>18754</v>
      </c>
      <c r="U12" s="138">
        <f>SUMIFS('Plan rashoda za unos u SAP'!$I$3:$I$525,'Plan rashoda za unos u SAP'!$C$3:$C$525,"=63",'Plan rashoda za unos u SAP'!$M$3:$M$525,"=323")+SUMIFS('ANALITIKA EU PROJEKATA'!$G$3:$G$586,'ANALITIKA EU PROJEKATA'!$A$3:$A$586,"=63",'ANALITIKA EU PROJEKATA'!$K$3:$K$586,"=323")</f>
        <v>0</v>
      </c>
      <c r="V12" s="138">
        <f>SUMIFS('Plan rashoda za unos u SAP'!$I$3:$I$525,'Plan rashoda za unos u SAP'!$C$3:$C$525,"=71",'Plan rashoda za unos u SAP'!$M$3:$M$525,"=323")+SUMIFS('ANALITIKA EU PROJEKATA'!$G$3:$G$586,'ANALITIKA EU PROJEKATA'!$A$3:$A$586,"=71",'ANALITIKA EU PROJEKATA'!$K$3:$K$586,"=323")</f>
        <v>40000</v>
      </c>
      <c r="W12" s="138">
        <f>SUMIFS('Plan rashoda za unos u SAP'!$I$3:$I$525,'Plan rashoda za unos u SAP'!$C$3:$C$525,"=81",'Plan rashoda za unos u SAP'!$M$3:$M$525,"=323")+SUMIFS('ANALITIKA EU PROJEKATA'!$G$3:$G$586,'ANALITIKA EU PROJEKATA'!$A$3:$A$586,"=81",'ANALITIKA EU PROJEKATA'!$K$3:$K$586,"=323")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1276061</v>
      </c>
      <c r="E13" s="138">
        <f>SUMIFS('Plan rashoda za unos u SAP'!$I$3:$I$525,'Plan rashoda za unos u SAP'!$C$3:$C$525,"=11",'Plan rashoda za unos u SAP'!$M$3:$M$525,"=324")+SUMIFS('ANALITIKA EU PROJEKATA'!$G$3:$G$586,'ANALITIKA EU PROJEKATA'!$A$3:$A$586,"=11",'ANALITIKA EU PROJEKATA'!$K$3:$K$586,"=324")</f>
        <v>220400</v>
      </c>
      <c r="F13" s="138">
        <f>SUMIFS('Plan rashoda za unos u SAP'!$I$3:$I$525,'Plan rashoda za unos u SAP'!$C$3:$C$525,"=12",'Plan rashoda za unos u SAP'!$M$3:$M$525,"=324")+SUMIFS('ANALITIKA EU PROJEKATA'!$G$3:$G$586,'ANALITIKA EU PROJEKATA'!$A$3:$A$586,"=12",'ANALITIKA EU PROJEKATA'!$K$3:$K$586,"=324")</f>
        <v>0</v>
      </c>
      <c r="G13" s="138">
        <f>SUMIFS('Plan rashoda za unos u SAP'!$I$3:$I$525,'Plan rashoda za unos u SAP'!$C$3:$C$525,"=31",'Plan rashoda za unos u SAP'!$M$3:$M$525,"=324")+SUMIFS('ANALITIKA EU PROJEKATA'!$G$3:$G$586,'ANALITIKA EU PROJEKATA'!$A$3:$A$586,"=31",'ANALITIKA EU PROJEKATA'!$K$3:$K$586,"=324")</f>
        <v>300470</v>
      </c>
      <c r="H13" s="138">
        <f>SUMIFS('Plan rashoda za unos u SAP'!$I$3:$I$525,'Plan rashoda za unos u SAP'!$C$3:$C$525,"=41",'Plan rashoda za unos u SAP'!$M$3:$M$525,"=324")+SUMIFS('ANALITIKA EU PROJEKATA'!$G$3:$G$586,'ANALITIKA EU PROJEKATA'!$A$3:$A$586,"=41",'ANALITIKA EU PROJEKATA'!$K$3:$K$586,"=324")</f>
        <v>0</v>
      </c>
      <c r="I13" s="138">
        <f>SUMIFS('Plan rashoda za unos u SAP'!$I$3:$I$525,'Plan rashoda za unos u SAP'!$C$3:$C$525,"=43",'Plan rashoda za unos u SAP'!$M$3:$M$525,"=324")+SUMIFS('ANALITIKA EU PROJEKATA'!$G$3:$G$586,'ANALITIKA EU PROJEKATA'!$A$3:$A$586,"=43",'ANALITIKA EU PROJEKATA'!$K$3:$K$586,"=324")</f>
        <v>693788</v>
      </c>
      <c r="J13" s="138">
        <f>SUMIFS('Plan rashoda za unos u SAP'!$I$3:$I$525,'Plan rashoda za unos u SAP'!$C$3:$C$525,"=51",'Plan rashoda za unos u SAP'!$M$3:$M$525,"=324")+SUMIFS('ANALITIKA EU PROJEKATA'!$G$3:$G$586,'ANALITIKA EU PROJEKATA'!$A$3:$A$586,"=51",'ANALITIKA EU PROJEKATA'!$K$3:$K$586,"=324")</f>
        <v>0</v>
      </c>
      <c r="K13" s="138">
        <f>SUMIFS('Plan rashoda za unos u SAP'!$I$3:$I$525,'Plan rashoda za unos u SAP'!$C$3:$C$525,"=52",'Plan rashoda za unos u SAP'!$M$3:$M$525,"=324")+SUMIFS('ANALITIKA EU PROJEKATA'!$G$3:$G$586,'ANALITIKA EU PROJEKATA'!$A$3:$A$586,"=52",'ANALITIKA EU PROJEKATA'!$K$3:$K$586,"=324")</f>
        <v>61403</v>
      </c>
      <c r="L13" s="138">
        <f>SUMIFS('Plan rashoda za unos u SAP'!$I$3:$I$525,'Plan rashoda za unos u SAP'!$C$3:$C$525,"=552",'Plan rashoda za unos u SAP'!$M$3:$M$525,"=324")+SUMIFS('ANALITIKA EU PROJEKATA'!$G$3:$G$586,'ANALITIKA EU PROJEKATA'!$A$3:$A$586,"=552",'ANALITIKA EU PROJEKATA'!$K$3:$K$586,"=324")</f>
        <v>0</v>
      </c>
      <c r="M13" s="138">
        <f>SUMIFS('Plan rashoda za unos u SAP'!$I$3:$I$525,'Plan rashoda za unos u SAP'!$C$3:$C$525,"=559",'Plan rashoda za unos u SAP'!$M$3:$M$525,"=324")+SUMIFS('ANALITIKA EU PROJEKATA'!$G$3:$G$586,'ANALITIKA EU PROJEKATA'!$A$3:$A$586,"=559",'ANALITIKA EU PROJEKATA'!$K$3:$K$586,"=324")</f>
        <v>0</v>
      </c>
      <c r="N13" s="138">
        <f>SUMIFS('Plan rashoda za unos u SAP'!$I$3:$I$525,'Plan rashoda za unos u SAP'!$C$3:$C$525,"=561",'Plan rashoda za unos u SAP'!$M$3:$M$525,"=324")+SUMIFS('ANALITIKA EU PROJEKATA'!$G$3:$G$586,'ANALITIKA EU PROJEKATA'!$A$3:$A$586,"=561",'ANALITIKA EU PROJEKATA'!$K$3:$K$586,"=324")</f>
        <v>0</v>
      </c>
      <c r="O13" s="138">
        <f>SUMIFS('Plan rashoda za unos u SAP'!$I$3:$I$525,'Plan rashoda za unos u SAP'!$C$3:$C$525,"=563",'Plan rashoda za unos u SAP'!$M$3:$M$525,"=324")+SUMIFS('ANALITIKA EU PROJEKATA'!$G$3:$G$586,'ANALITIKA EU PROJEKATA'!$A$3:$A$586,"=563",'ANALITIKA EU PROJEKATA'!$K$3:$K$586,"=324")</f>
        <v>0</v>
      </c>
      <c r="P13" s="138">
        <f>SUMIFS('Plan rashoda za unos u SAP'!$I$3:$I$525,'Plan rashoda za unos u SAP'!$C$3:$C$525,"=573",'Plan rashoda za unos u SAP'!$M$3:$M$525,"=324")+SUMIFS('ANALITIKA EU PROJEKATA'!$G$3:$G$586,'ANALITIKA EU PROJEKATA'!$A$3:$A$586,"=573",'ANALITIKA EU PROJEKATA'!$K$3:$K$586,"=324")</f>
        <v>0</v>
      </c>
      <c r="Q13" s="138">
        <f>SUMIFS('Plan rashoda za unos u SAP'!$I$3:$I$525,'Plan rashoda za unos u SAP'!$C$3:$C$525,"=575",'Plan rashoda za unos u SAP'!$M$3:$M$525,"=324")+SUMIFS('ANALITIKA EU PROJEKATA'!$G$3:$G$586,'ANALITIKA EU PROJEKATA'!$A$3:$A$586,"=575",'ANALITIKA EU PROJEKATA'!$K$3:$K$586,"=324")</f>
        <v>0</v>
      </c>
      <c r="R13" s="138">
        <f>SUMIFS('Plan rashoda za unos u SAP'!$I$3:$I$525,'Plan rashoda za unos u SAP'!$C$3:$C$525,"=576",'Plan rashoda za unos u SAP'!$M$3:$M$525,"=324")+SUMIFS('ANALITIKA EU PROJEKATA'!$G$3:$G$586,'ANALITIKA EU PROJEKATA'!$A$3:$A$586,"=576",'ANALITIKA EU PROJEKATA'!$K$3:$K$586,"=324")</f>
        <v>0</v>
      </c>
      <c r="S13" s="138">
        <f>SUMIFS('Plan rashoda za unos u SAP'!$I$3:$I$525,'Plan rashoda za unos u SAP'!$C$3:$C$525,"=581",'Plan rashoda za unos u SAP'!$M$3:$M$525,"=324")+SUMIFS('ANALITIKA EU PROJEKATA'!$G$3:$G$586,'ANALITIKA EU PROJEKATA'!$A$3:$A$586,"=581",'ANALITIKA EU PROJEKATA'!$K$3:$K$586,"=324")</f>
        <v>0</v>
      </c>
      <c r="T13" s="138">
        <f>SUMIFS('Plan rashoda za unos u SAP'!$I$3:$I$525,'Plan rashoda za unos u SAP'!$C$3:$C$525,"=61",'Plan rashoda za unos u SAP'!$M$3:$M$525,"=324")+SUMIFS('ANALITIKA EU PROJEKATA'!$G$3:$G$586,'ANALITIKA EU PROJEKATA'!$A$3:$A$586,"=61",'ANALITIKA EU PROJEKATA'!$K$3:$K$586,"=324")</f>
        <v>0</v>
      </c>
      <c r="U13" s="138">
        <f>SUMIFS('Plan rashoda za unos u SAP'!$I$3:$I$525,'Plan rashoda za unos u SAP'!$C$3:$C$525,"=63",'Plan rashoda za unos u SAP'!$M$3:$M$525,"=324")+SUMIFS('ANALITIKA EU PROJEKATA'!$G$3:$G$586,'ANALITIKA EU PROJEKATA'!$A$3:$A$586,"=63",'ANALITIKA EU PROJEKATA'!$K$3:$K$586,"=324")</f>
        <v>0</v>
      </c>
      <c r="V13" s="138">
        <f>SUMIFS('Plan rashoda za unos u SAP'!$I$3:$I$525,'Plan rashoda za unos u SAP'!$C$3:$C$525,"=71",'Plan rashoda za unos u SAP'!$M$3:$M$525,"=324")+SUMIFS('ANALITIKA EU PROJEKATA'!$G$3:$G$586,'ANALITIKA EU PROJEKATA'!$A$3:$A$586,"=71",'ANALITIKA EU PROJEKATA'!$K$3:$K$586,"=324")</f>
        <v>0</v>
      </c>
      <c r="W13" s="138">
        <f>SUMIFS('Plan rashoda za unos u SAP'!$I$3:$I$525,'Plan rashoda za unos u SAP'!$C$3:$C$525,"=81",'Plan rashoda za unos u SAP'!$M$3:$M$525,"=324")+SUMIFS('ANALITIKA EU PROJEKATA'!$G$3:$G$586,'ANALITIKA EU PROJEKATA'!$A$3:$A$586,"=81",'ANALITIKA EU PROJEKATA'!$K$3:$K$586,"=324")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2315067</v>
      </c>
      <c r="E14" s="138">
        <f>SUMIFS('Plan rashoda za unos u SAP'!$I$3:$I$525,'Plan rashoda za unos u SAP'!$C$3:$C$525,"=11",'Plan rashoda za unos u SAP'!$M$3:$M$525,"=329")+SUMIFS('ANALITIKA EU PROJEKATA'!$G$3:$G$586,'ANALITIKA EU PROJEKATA'!$A$3:$A$586,"=11",'ANALITIKA EU PROJEKATA'!$K$3:$K$586,"=329")</f>
        <v>559800</v>
      </c>
      <c r="F14" s="138">
        <f>SUMIFS('Plan rashoda za unos u SAP'!$I$3:$I$525,'Plan rashoda za unos u SAP'!$C$3:$C$525,"=12",'Plan rashoda za unos u SAP'!$M$3:$M$525,"=329")+SUMIFS('ANALITIKA EU PROJEKATA'!$G$3:$G$586,'ANALITIKA EU PROJEKATA'!$A$3:$A$586,"=12",'ANALITIKA EU PROJEKATA'!$K$3:$K$586,"=329")</f>
        <v>0</v>
      </c>
      <c r="G14" s="138">
        <f>SUMIFS('Plan rashoda za unos u SAP'!$I$3:$I$525,'Plan rashoda za unos u SAP'!$C$3:$C$525,"=31",'Plan rashoda za unos u SAP'!$M$3:$M$525,"=329")+SUMIFS('ANALITIKA EU PROJEKATA'!$G$3:$G$586,'ANALITIKA EU PROJEKATA'!$A$3:$A$586,"=31",'ANALITIKA EU PROJEKATA'!$K$3:$K$586,"=329")</f>
        <v>304220</v>
      </c>
      <c r="H14" s="138">
        <f>SUMIFS('Plan rashoda za unos u SAP'!$I$3:$I$525,'Plan rashoda za unos u SAP'!$C$3:$C$525,"=41",'Plan rashoda za unos u SAP'!$M$3:$M$525,"=329")+SUMIFS('ANALITIKA EU PROJEKATA'!$G$3:$G$586,'ANALITIKA EU PROJEKATA'!$A$3:$A$586,"=41",'ANALITIKA EU PROJEKATA'!$K$3:$K$586,"=329")</f>
        <v>0</v>
      </c>
      <c r="I14" s="138">
        <f>SUMIFS('Plan rashoda za unos u SAP'!$I$3:$I$525,'Plan rashoda za unos u SAP'!$C$3:$C$525,"=43",'Plan rashoda za unos u SAP'!$M$3:$M$525,"=329")+SUMIFS('ANALITIKA EU PROJEKATA'!$G$3:$G$586,'ANALITIKA EU PROJEKATA'!$A$3:$A$586,"=43",'ANALITIKA EU PROJEKATA'!$K$3:$K$586,"=329")</f>
        <v>1370670</v>
      </c>
      <c r="J14" s="138">
        <f>SUMIFS('Plan rashoda za unos u SAP'!$I$3:$I$525,'Plan rashoda za unos u SAP'!$C$3:$C$525,"=51",'Plan rashoda za unos u SAP'!$M$3:$M$525,"=329")+SUMIFS('ANALITIKA EU PROJEKATA'!$G$3:$G$586,'ANALITIKA EU PROJEKATA'!$A$3:$A$586,"=51",'ANALITIKA EU PROJEKATA'!$K$3:$K$586,"=329")</f>
        <v>0</v>
      </c>
      <c r="K14" s="138">
        <f>SUMIFS('Plan rashoda za unos u SAP'!$I$3:$I$525,'Plan rashoda za unos u SAP'!$C$3:$C$525,"=52",'Plan rashoda za unos u SAP'!$M$3:$M$525,"=329")+SUMIFS('ANALITIKA EU PROJEKATA'!$G$3:$G$586,'ANALITIKA EU PROJEKATA'!$A$3:$A$586,"=52",'ANALITIKA EU PROJEKATA'!$K$3:$K$586,"=329")</f>
        <v>0</v>
      </c>
      <c r="L14" s="138">
        <f>SUMIFS('Plan rashoda za unos u SAP'!$I$3:$I$525,'Plan rashoda za unos u SAP'!$C$3:$C$525,"=552",'Plan rashoda za unos u SAP'!$M$3:$M$525,"=329")+SUMIFS('ANALITIKA EU PROJEKATA'!$G$3:$G$586,'ANALITIKA EU PROJEKATA'!$A$3:$A$586,"=552",'ANALITIKA EU PROJEKATA'!$K$3:$K$586,"=329")</f>
        <v>0</v>
      </c>
      <c r="M14" s="138">
        <f>SUMIFS('Plan rashoda za unos u SAP'!$I$3:$I$525,'Plan rashoda za unos u SAP'!$C$3:$C$525,"=559",'Plan rashoda za unos u SAP'!$M$3:$M$525,"=329")+SUMIFS('ANALITIKA EU PROJEKATA'!$G$3:$G$586,'ANALITIKA EU PROJEKATA'!$A$3:$A$586,"=559",'ANALITIKA EU PROJEKATA'!$K$3:$K$586,"=329")</f>
        <v>0</v>
      </c>
      <c r="N14" s="138">
        <f>SUMIFS('Plan rashoda za unos u SAP'!$I$3:$I$525,'Plan rashoda za unos u SAP'!$C$3:$C$525,"=561",'Plan rashoda za unos u SAP'!$M$3:$M$525,"=329")+SUMIFS('ANALITIKA EU PROJEKATA'!$G$3:$G$586,'ANALITIKA EU PROJEKATA'!$A$3:$A$586,"=561",'ANALITIKA EU PROJEKATA'!$K$3:$K$586,"=329")</f>
        <v>0</v>
      </c>
      <c r="O14" s="138">
        <f>SUMIFS('Plan rashoda za unos u SAP'!$I$3:$I$525,'Plan rashoda za unos u SAP'!$C$3:$C$525,"=563",'Plan rashoda za unos u SAP'!$M$3:$M$525,"=329")+SUMIFS('ANALITIKA EU PROJEKATA'!$G$3:$G$586,'ANALITIKA EU PROJEKATA'!$A$3:$A$586,"=563",'ANALITIKA EU PROJEKATA'!$K$3:$K$586,"=329")</f>
        <v>71000</v>
      </c>
      <c r="P14" s="138">
        <f>SUMIFS('Plan rashoda za unos u SAP'!$I$3:$I$525,'Plan rashoda za unos u SAP'!$C$3:$C$525,"=573",'Plan rashoda za unos u SAP'!$M$3:$M$525,"=329")+SUMIFS('ANALITIKA EU PROJEKATA'!$G$3:$G$586,'ANALITIKA EU PROJEKATA'!$A$3:$A$586,"=573",'ANALITIKA EU PROJEKATA'!$K$3:$K$586,"=329")</f>
        <v>0</v>
      </c>
      <c r="Q14" s="138">
        <f>SUMIFS('Plan rashoda za unos u SAP'!$I$3:$I$525,'Plan rashoda za unos u SAP'!$C$3:$C$525,"=575",'Plan rashoda za unos u SAP'!$M$3:$M$525,"=329")+SUMIFS('ANALITIKA EU PROJEKATA'!$G$3:$G$586,'ANALITIKA EU PROJEKATA'!$A$3:$A$586,"=575",'ANALITIKA EU PROJEKATA'!$K$3:$K$586,"=329")</f>
        <v>0</v>
      </c>
      <c r="R14" s="138">
        <f>SUMIFS('Plan rashoda za unos u SAP'!$I$3:$I$525,'Plan rashoda za unos u SAP'!$C$3:$C$525,"=576",'Plan rashoda za unos u SAP'!$M$3:$M$525,"=329")+SUMIFS('ANALITIKA EU PROJEKATA'!$G$3:$G$586,'ANALITIKA EU PROJEKATA'!$A$3:$A$586,"=576",'ANALITIKA EU PROJEKATA'!$K$3:$K$586,"=329")</f>
        <v>0</v>
      </c>
      <c r="S14" s="138">
        <f>SUMIFS('Plan rashoda za unos u SAP'!$I$3:$I$525,'Plan rashoda za unos u SAP'!$C$3:$C$525,"=581",'Plan rashoda za unos u SAP'!$M$3:$M$525,"=329")+SUMIFS('ANALITIKA EU PROJEKATA'!$G$3:$G$586,'ANALITIKA EU PROJEKATA'!$A$3:$A$586,"=581",'ANALITIKA EU PROJEKATA'!$K$3:$K$586,"=329")</f>
        <v>0</v>
      </c>
      <c r="T14" s="138">
        <f>SUMIFS('Plan rashoda za unos u SAP'!$I$3:$I$525,'Plan rashoda za unos u SAP'!$C$3:$C$525,"=61",'Plan rashoda za unos u SAP'!$M$3:$M$525,"=329")+SUMIFS('ANALITIKA EU PROJEKATA'!$G$3:$G$586,'ANALITIKA EU PROJEKATA'!$A$3:$A$586,"=61",'ANALITIKA EU PROJEKATA'!$K$3:$K$586,"=329")</f>
        <v>9377</v>
      </c>
      <c r="U14" s="138">
        <f>SUMIFS('Plan rashoda za unos u SAP'!$I$3:$I$525,'Plan rashoda za unos u SAP'!$C$3:$C$525,"=63",'Plan rashoda za unos u SAP'!$M$3:$M$525,"=329")+SUMIFS('ANALITIKA EU PROJEKATA'!$G$3:$G$586,'ANALITIKA EU PROJEKATA'!$A$3:$A$586,"=63",'ANALITIKA EU PROJEKATA'!$K$3:$K$586,"=329")</f>
        <v>0</v>
      </c>
      <c r="V14" s="138">
        <f>SUMIFS('Plan rashoda za unos u SAP'!$I$3:$I$525,'Plan rashoda za unos u SAP'!$C$3:$C$525,"=71",'Plan rashoda za unos u SAP'!$M$3:$M$525,"=329")+SUMIFS('ANALITIKA EU PROJEKATA'!$G$3:$G$586,'ANALITIKA EU PROJEKATA'!$A$3:$A$586,"=71",'ANALITIKA EU PROJEKATA'!$K$3:$K$586,"=329")</f>
        <v>0</v>
      </c>
      <c r="W14" s="138">
        <f>SUMIFS('Plan rashoda za unos u SAP'!$I$3:$I$525,'Plan rashoda za unos u SAP'!$C$3:$C$525,"=81",'Plan rashoda za unos u SAP'!$M$3:$M$525,"=329")+SUMIFS('ANALITIKA EU PROJEKATA'!$G$3:$G$586,'ANALITIKA EU PROJEKATA'!$A$3:$A$586,"=81",'ANALITIKA EU PROJEKATA'!$K$3:$K$586,"=329")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263586</v>
      </c>
      <c r="E15" s="4">
        <f t="shared" ref="E15:W15" si="5">SUM(E16:E18)</f>
        <v>192000</v>
      </c>
      <c r="F15" s="4">
        <f t="shared" si="5"/>
        <v>0</v>
      </c>
      <c r="G15" s="4">
        <f t="shared" si="5"/>
        <v>31500</v>
      </c>
      <c r="H15" s="4">
        <f>SUM(H16:H18)</f>
        <v>0</v>
      </c>
      <c r="I15" s="4">
        <f t="shared" si="5"/>
        <v>40086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318</v>
      </c>
      <c r="D16" s="14">
        <f t="shared" si="0"/>
        <v>0</v>
      </c>
      <c r="E16" s="138">
        <f>SUMIFS('Plan rashoda za unos u SAP'!$I$3:$I$525,'Plan rashoda za unos u SAP'!$C$3:$C$525,"=11",'Plan rashoda za unos u SAP'!$M$3:$M$525,"=341")+SUMIFS('ANALITIKA EU PROJEKATA'!$G$3:$G$586,'ANALITIKA EU PROJEKATA'!$A$3:$A$586,"=11",'ANALITIKA EU PROJEKATA'!$K$3:$K$586,"=341")</f>
        <v>0</v>
      </c>
      <c r="F16" s="138">
        <f>SUMIFS('Plan rashoda za unos u SAP'!$I$3:$I$525,'Plan rashoda za unos u SAP'!$C$3:$C$525,"=12",'Plan rashoda za unos u SAP'!$M$3:$M$525,"=341")+SUMIFS('ANALITIKA EU PROJEKATA'!$G$3:$G$586,'ANALITIKA EU PROJEKATA'!$A$3:$A$586,"=12",'ANALITIKA EU PROJEKATA'!$K$3:$K$586,"=341")</f>
        <v>0</v>
      </c>
      <c r="G16" s="138">
        <f>SUMIFS('Plan rashoda za unos u SAP'!$I$3:$I$525,'Plan rashoda za unos u SAP'!$C$3:$C$525,"=31",'Plan rashoda za unos u SAP'!$M$3:$M$525,"=341")+SUMIFS('ANALITIKA EU PROJEKATA'!$G$3:$G$586,'ANALITIKA EU PROJEKATA'!$A$3:$A$586,"=31",'ANALITIKA EU PROJEKATA'!$K$3:$K$586,"=341")</f>
        <v>0</v>
      </c>
      <c r="H16" s="138">
        <f>SUMIFS('Plan rashoda za unos u SAP'!$I$3:$I$525,'Plan rashoda za unos u SAP'!$C$3:$C$525,"=41",'Plan rashoda za unos u SAP'!$M$3:$M$525,"=341")+SUMIFS('ANALITIKA EU PROJEKATA'!$G$3:$G$586,'ANALITIKA EU PROJEKATA'!$A$3:$A$586,"=41",'ANALITIKA EU PROJEKATA'!$K$3:$K$586,"=341")</f>
        <v>0</v>
      </c>
      <c r="I16" s="138">
        <f>SUMIFS('Plan rashoda za unos u SAP'!$I$3:$I$525,'Plan rashoda za unos u SAP'!$C$3:$C$525,"=43",'Plan rashoda za unos u SAP'!$M$3:$M$525,"=341")+SUMIFS('ANALITIKA EU PROJEKATA'!$G$3:$G$586,'ANALITIKA EU PROJEKATA'!$A$3:$A$586,"=43",'ANALITIKA EU PROJEKATA'!$K$3:$K$586,"=341")</f>
        <v>0</v>
      </c>
      <c r="J16" s="138">
        <f>SUMIFS('Plan rashoda za unos u SAP'!$I$3:$I$525,'Plan rashoda za unos u SAP'!$C$3:$C$525,"=51",'Plan rashoda za unos u SAP'!$M$3:$M$525,"=341")+SUMIFS('ANALITIKA EU PROJEKATA'!$G$3:$G$586,'ANALITIKA EU PROJEKATA'!$A$3:$A$586,"=51",'ANALITIKA EU PROJEKATA'!$K$3:$K$586,"=341")</f>
        <v>0</v>
      </c>
      <c r="K16" s="138">
        <f>SUMIFS('Plan rashoda za unos u SAP'!$I$3:$I$525,'Plan rashoda za unos u SAP'!$C$3:$C$525,"=52",'Plan rashoda za unos u SAP'!$M$3:$M$525,"=341")+SUMIFS('ANALITIKA EU PROJEKATA'!$G$3:$G$586,'ANALITIKA EU PROJEKATA'!$A$3:$A$586,"=52",'ANALITIKA EU PROJEKATA'!$K$3:$K$586,"=341")</f>
        <v>0</v>
      </c>
      <c r="L16" s="138">
        <f>SUMIFS('Plan rashoda za unos u SAP'!$I$3:$I$525,'Plan rashoda za unos u SAP'!$C$3:$C$525,"=552",'Plan rashoda za unos u SAP'!$M$3:$M$525,"=341")+SUMIFS('ANALITIKA EU PROJEKATA'!$G$3:$G$586,'ANALITIKA EU PROJEKATA'!$A$3:$A$586,"=552",'ANALITIKA EU PROJEKATA'!$K$3:$K$586,"=341")</f>
        <v>0</v>
      </c>
      <c r="M16" s="138">
        <f>SUMIFS('Plan rashoda za unos u SAP'!$I$3:$I$525,'Plan rashoda za unos u SAP'!$C$3:$C$525,"=559",'Plan rashoda za unos u SAP'!$M$3:$M$525,"=341")+SUMIFS('ANALITIKA EU PROJEKATA'!$G$3:$G$586,'ANALITIKA EU PROJEKATA'!$A$3:$A$586,"=559",'ANALITIKA EU PROJEKATA'!$K$3:$K$586,"=341")</f>
        <v>0</v>
      </c>
      <c r="N16" s="138">
        <f>SUMIFS('Plan rashoda za unos u SAP'!$I$3:$I$525,'Plan rashoda za unos u SAP'!$C$3:$C$525,"=561",'Plan rashoda za unos u SAP'!$M$3:$M$525,"=341")+SUMIFS('ANALITIKA EU PROJEKATA'!$G$3:$G$586,'ANALITIKA EU PROJEKATA'!$A$3:$A$586,"=561",'ANALITIKA EU PROJEKATA'!$K$3:$K$586,"=341")</f>
        <v>0</v>
      </c>
      <c r="O16" s="138">
        <f>SUMIFS('Plan rashoda za unos u SAP'!$I$3:$I$525,'Plan rashoda za unos u SAP'!$C$3:$C$525,"=563",'Plan rashoda za unos u SAP'!$M$3:$M$525,"=341")+SUMIFS('ANALITIKA EU PROJEKATA'!$G$3:$G$586,'ANALITIKA EU PROJEKATA'!$A$3:$A$586,"=563",'ANALITIKA EU PROJEKATA'!$K$3:$K$586,"=341")</f>
        <v>0</v>
      </c>
      <c r="P16" s="138">
        <f>SUMIFS('Plan rashoda za unos u SAP'!$I$3:$I$525,'Plan rashoda za unos u SAP'!$C$3:$C$525,"=573",'Plan rashoda za unos u SAP'!$M$3:$M$525,"=341")+SUMIFS('ANALITIKA EU PROJEKATA'!$G$3:$G$586,'ANALITIKA EU PROJEKATA'!$A$3:$A$586,"=573",'ANALITIKA EU PROJEKATA'!$K$3:$K$586,"=341")</f>
        <v>0</v>
      </c>
      <c r="Q16" s="138">
        <f>SUMIFS('Plan rashoda za unos u SAP'!$I$3:$I$525,'Plan rashoda za unos u SAP'!$C$3:$C$525,"=575",'Plan rashoda za unos u SAP'!$M$3:$M$525,"=341")+SUMIFS('ANALITIKA EU PROJEKATA'!$G$3:$G$586,'ANALITIKA EU PROJEKATA'!$A$3:$A$586,"=575",'ANALITIKA EU PROJEKATA'!$K$3:$K$586,"=341")</f>
        <v>0</v>
      </c>
      <c r="R16" s="138">
        <f>SUMIFS('Plan rashoda za unos u SAP'!$I$3:$I$525,'Plan rashoda za unos u SAP'!$C$3:$C$525,"=576",'Plan rashoda za unos u SAP'!$M$3:$M$525,"=341")+SUMIFS('ANALITIKA EU PROJEKATA'!$G$3:$G$586,'ANALITIKA EU PROJEKATA'!$A$3:$A$586,"=576",'ANALITIKA EU PROJEKATA'!$K$3:$K$586,"=341")</f>
        <v>0</v>
      </c>
      <c r="S16" s="138">
        <f>SUMIFS('Plan rashoda za unos u SAP'!$I$3:$I$525,'Plan rashoda za unos u SAP'!$C$3:$C$525,"=581",'Plan rashoda za unos u SAP'!$M$3:$M$525,"=341")+SUMIFS('ANALITIKA EU PROJEKATA'!$G$3:$G$586,'ANALITIKA EU PROJEKATA'!$A$3:$A$586,"=581",'ANALITIKA EU PROJEKATA'!$K$3:$K$586,"=341")</f>
        <v>0</v>
      </c>
      <c r="T16" s="138">
        <f>SUMIFS('Plan rashoda za unos u SAP'!$I$3:$I$525,'Plan rashoda za unos u SAP'!$C$3:$C$525,"=61",'Plan rashoda za unos u SAP'!$M$3:$M$525,"=341")+SUMIFS('ANALITIKA EU PROJEKATA'!$G$3:$G$586,'ANALITIKA EU PROJEKATA'!$A$3:$A$586,"=61",'ANALITIKA EU PROJEKATA'!$K$3:$K$586,"=341")</f>
        <v>0</v>
      </c>
      <c r="U16" s="138">
        <f>SUMIFS('Plan rashoda za unos u SAP'!$I$3:$I$525,'Plan rashoda za unos u SAP'!$C$3:$C$525,"=63",'Plan rashoda za unos u SAP'!$M$3:$M$525,"=341")+SUMIFS('ANALITIKA EU PROJEKATA'!$G$3:$G$586,'ANALITIKA EU PROJEKATA'!$A$3:$A$586,"=63",'ANALITIKA EU PROJEKATA'!$K$3:$K$586,"=341")</f>
        <v>0</v>
      </c>
      <c r="V16" s="138">
        <f>SUMIFS('Plan rashoda za unos u SAP'!$I$3:$I$525,'Plan rashoda za unos u SAP'!$C$3:$C$525,"=71",'Plan rashoda za unos u SAP'!$M$3:$M$525,"=341")+SUMIFS('ANALITIKA EU PROJEKATA'!$G$3:$G$586,'ANALITIKA EU PROJEKATA'!$A$3:$A$586,"=71",'ANALITIKA EU PROJEKATA'!$K$3:$K$586,"=341")</f>
        <v>0</v>
      </c>
      <c r="W16" s="138">
        <f>SUMIFS('Plan rashoda za unos u SAP'!$I$3:$I$525,'Plan rashoda za unos u SAP'!$C$3:$C$525,"=81",'Plan rashoda za unos u SAP'!$M$3:$M$525,"=341")+SUMIFS('ANALITIKA EU PROJEKATA'!$G$3:$G$586,'ANALITIKA EU PROJEKATA'!$A$3:$A$586,"=81",'ANALITIKA EU PROJEKATA'!$K$3:$K$586,"=341")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319</v>
      </c>
      <c r="D17" s="14">
        <f t="shared" si="0"/>
        <v>0</v>
      </c>
      <c r="E17" s="138">
        <f>SUMIFS('Plan rashoda za unos u SAP'!$I$3:$I$525,'Plan rashoda za unos u SAP'!$C$3:$C$525,"=11",'Plan rashoda za unos u SAP'!$M$3:$M$525,"=342")+SUMIFS('ANALITIKA EU PROJEKATA'!$G$3:$G$586,'ANALITIKA EU PROJEKATA'!$A$3:$A$586,"=11",'ANALITIKA EU PROJEKATA'!$K$3:$K$586,"=342")</f>
        <v>0</v>
      </c>
      <c r="F17" s="138">
        <f>SUMIFS('Plan rashoda za unos u SAP'!$I$3:$I$525,'Plan rashoda za unos u SAP'!$C$3:$C$525,"=12",'Plan rashoda za unos u SAP'!$M$3:$M$525,"=342")+SUMIFS('ANALITIKA EU PROJEKATA'!$G$3:$G$586,'ANALITIKA EU PROJEKATA'!$A$3:$A$586,"=12",'ANALITIKA EU PROJEKATA'!$K$3:$K$586,"=342")</f>
        <v>0</v>
      </c>
      <c r="G17" s="138">
        <f>SUMIFS('Plan rashoda za unos u SAP'!$I$3:$I$525,'Plan rashoda za unos u SAP'!$C$3:$C$525,"=31",'Plan rashoda za unos u SAP'!$M$3:$M$525,"=342")+SUMIFS('ANALITIKA EU PROJEKATA'!$G$3:$G$586,'ANALITIKA EU PROJEKATA'!$A$3:$A$586,"=31",'ANALITIKA EU PROJEKATA'!$K$3:$K$586,"=342")</f>
        <v>0</v>
      </c>
      <c r="H17" s="138">
        <f>SUMIFS('Plan rashoda za unos u SAP'!$I$3:$I$525,'Plan rashoda za unos u SAP'!$C$3:$C$525,"=41",'Plan rashoda za unos u SAP'!$M$3:$M$525,"=342")+SUMIFS('ANALITIKA EU PROJEKATA'!$G$3:$G$586,'ANALITIKA EU PROJEKATA'!$A$3:$A$586,"=41",'ANALITIKA EU PROJEKATA'!$K$3:$K$586,"=342")</f>
        <v>0</v>
      </c>
      <c r="I17" s="138">
        <f>SUMIFS('Plan rashoda za unos u SAP'!$I$3:$I$525,'Plan rashoda za unos u SAP'!$C$3:$C$525,"=43",'Plan rashoda za unos u SAP'!$M$3:$M$525,"=342")+SUMIFS('ANALITIKA EU PROJEKATA'!$G$3:$G$586,'ANALITIKA EU PROJEKATA'!$A$3:$A$586,"=43",'ANALITIKA EU PROJEKATA'!$K$3:$K$586,"=342")</f>
        <v>0</v>
      </c>
      <c r="J17" s="138">
        <f>SUMIFS('Plan rashoda za unos u SAP'!$I$3:$I$525,'Plan rashoda za unos u SAP'!$C$3:$C$525,"=51",'Plan rashoda za unos u SAP'!$M$3:$M$525,"=342")+SUMIFS('ANALITIKA EU PROJEKATA'!$G$3:$G$586,'ANALITIKA EU PROJEKATA'!$A$3:$A$586,"=51",'ANALITIKA EU PROJEKATA'!$K$3:$K$586,"=342")</f>
        <v>0</v>
      </c>
      <c r="K17" s="138">
        <f>SUMIFS('Plan rashoda za unos u SAP'!$I$3:$I$525,'Plan rashoda za unos u SAP'!$C$3:$C$525,"=52",'Plan rashoda za unos u SAP'!$M$3:$M$525,"=342")+SUMIFS('ANALITIKA EU PROJEKATA'!$G$3:$G$586,'ANALITIKA EU PROJEKATA'!$A$3:$A$586,"=52",'ANALITIKA EU PROJEKATA'!$K$3:$K$586,"=342")</f>
        <v>0</v>
      </c>
      <c r="L17" s="138">
        <f>SUMIFS('Plan rashoda za unos u SAP'!$I$3:$I$525,'Plan rashoda za unos u SAP'!$C$3:$C$525,"=552",'Plan rashoda za unos u SAP'!$M$3:$M$525,"=342")+SUMIFS('ANALITIKA EU PROJEKATA'!$G$3:$G$586,'ANALITIKA EU PROJEKATA'!$A$3:$A$586,"=552",'ANALITIKA EU PROJEKATA'!$K$3:$K$586,"=342")</f>
        <v>0</v>
      </c>
      <c r="M17" s="138">
        <f>SUMIFS('Plan rashoda za unos u SAP'!$I$3:$I$525,'Plan rashoda za unos u SAP'!$C$3:$C$525,"=559",'Plan rashoda za unos u SAP'!$M$3:$M$525,"=342")+SUMIFS('ANALITIKA EU PROJEKATA'!$G$3:$G$586,'ANALITIKA EU PROJEKATA'!$A$3:$A$586,"=559",'ANALITIKA EU PROJEKATA'!$K$3:$K$586,"=342")</f>
        <v>0</v>
      </c>
      <c r="N17" s="138">
        <f>SUMIFS('Plan rashoda za unos u SAP'!$I$3:$I$525,'Plan rashoda za unos u SAP'!$C$3:$C$525,"=561",'Plan rashoda za unos u SAP'!$M$3:$M$525,"=342")+SUMIFS('ANALITIKA EU PROJEKATA'!$G$3:$G$586,'ANALITIKA EU PROJEKATA'!$A$3:$A$586,"=561",'ANALITIKA EU PROJEKATA'!$K$3:$K$586,"=342")</f>
        <v>0</v>
      </c>
      <c r="O17" s="138">
        <f>SUMIFS('Plan rashoda za unos u SAP'!$I$3:$I$525,'Plan rashoda za unos u SAP'!$C$3:$C$525,"=563",'Plan rashoda za unos u SAP'!$M$3:$M$525,"=342")+SUMIFS('ANALITIKA EU PROJEKATA'!$G$3:$G$586,'ANALITIKA EU PROJEKATA'!$A$3:$A$586,"=563",'ANALITIKA EU PROJEKATA'!$K$3:$K$586,"=342")</f>
        <v>0</v>
      </c>
      <c r="P17" s="138">
        <f>SUMIFS('Plan rashoda za unos u SAP'!$I$3:$I$525,'Plan rashoda za unos u SAP'!$C$3:$C$525,"=573",'Plan rashoda za unos u SAP'!$M$3:$M$525,"=342")+SUMIFS('ANALITIKA EU PROJEKATA'!$G$3:$G$586,'ANALITIKA EU PROJEKATA'!$A$3:$A$586,"=573",'ANALITIKA EU PROJEKATA'!$K$3:$K$586,"=342")</f>
        <v>0</v>
      </c>
      <c r="Q17" s="138">
        <f>SUMIFS('Plan rashoda za unos u SAP'!$I$3:$I$525,'Plan rashoda za unos u SAP'!$C$3:$C$525,"=575",'Plan rashoda za unos u SAP'!$M$3:$M$525,"=342")+SUMIFS('ANALITIKA EU PROJEKATA'!$G$3:$G$586,'ANALITIKA EU PROJEKATA'!$A$3:$A$586,"=575",'ANALITIKA EU PROJEKATA'!$K$3:$K$586,"=342")</f>
        <v>0</v>
      </c>
      <c r="R17" s="138">
        <f>SUMIFS('Plan rashoda za unos u SAP'!$I$3:$I$525,'Plan rashoda za unos u SAP'!$C$3:$C$525,"=576",'Plan rashoda za unos u SAP'!$M$3:$M$525,"=342")+SUMIFS('ANALITIKA EU PROJEKATA'!$G$3:$G$586,'ANALITIKA EU PROJEKATA'!$A$3:$A$586,"=576",'ANALITIKA EU PROJEKATA'!$K$3:$K$586,"=342")</f>
        <v>0</v>
      </c>
      <c r="S17" s="138">
        <f>SUMIFS('Plan rashoda za unos u SAP'!$I$3:$I$525,'Plan rashoda za unos u SAP'!$C$3:$C$525,"=581",'Plan rashoda za unos u SAP'!$M$3:$M$525,"=342")+SUMIFS('ANALITIKA EU PROJEKATA'!$G$3:$G$586,'ANALITIKA EU PROJEKATA'!$A$3:$A$586,"=581",'ANALITIKA EU PROJEKATA'!$K$3:$K$586,"=342")</f>
        <v>0</v>
      </c>
      <c r="T17" s="138">
        <f>SUMIFS('Plan rashoda za unos u SAP'!$I$3:$I$525,'Plan rashoda za unos u SAP'!$C$3:$C$525,"=61",'Plan rashoda za unos u SAP'!$M$3:$M$525,"=342")+SUMIFS('ANALITIKA EU PROJEKATA'!$G$3:$G$586,'ANALITIKA EU PROJEKATA'!$A$3:$A$586,"=61",'ANALITIKA EU PROJEKATA'!$K$3:$K$586,"=342")</f>
        <v>0</v>
      </c>
      <c r="U17" s="138">
        <f>SUMIFS('Plan rashoda za unos u SAP'!$I$3:$I$525,'Plan rashoda za unos u SAP'!$C$3:$C$525,"=63",'Plan rashoda za unos u SAP'!$M$3:$M$525,"=342")+SUMIFS('ANALITIKA EU PROJEKATA'!$G$3:$G$586,'ANALITIKA EU PROJEKATA'!$A$3:$A$586,"=63",'ANALITIKA EU PROJEKATA'!$K$3:$K$586,"=342")</f>
        <v>0</v>
      </c>
      <c r="V17" s="138">
        <f>SUMIFS('Plan rashoda za unos u SAP'!$I$3:$I$525,'Plan rashoda za unos u SAP'!$C$3:$C$525,"=71",'Plan rashoda za unos u SAP'!$M$3:$M$525,"=342")+SUMIFS('ANALITIKA EU PROJEKATA'!$G$3:$G$586,'ANALITIKA EU PROJEKATA'!$A$3:$A$586,"=71",'ANALITIKA EU PROJEKATA'!$K$3:$K$586,"=342")</f>
        <v>0</v>
      </c>
      <c r="W17" s="138">
        <f>SUMIFS('Plan rashoda za unos u SAP'!$I$3:$I$525,'Plan rashoda za unos u SAP'!$C$3:$C$525,"=81",'Plan rashoda za unos u SAP'!$M$3:$M$525,"=342")+SUMIFS('ANALITIKA EU PROJEKATA'!$G$3:$G$586,'ANALITIKA EU PROJEKATA'!$A$3:$A$586,"=81",'ANALITIKA EU PROJEKATA'!$K$3:$K$586,"=342")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263586</v>
      </c>
      <c r="E18" s="138">
        <f>SUMIFS('Plan rashoda za unos u SAP'!$I$3:$I$525,'Plan rashoda za unos u SAP'!$C$3:$C$525,"=11",'Plan rashoda za unos u SAP'!$M$3:$M$525,"=343")+SUMIFS('ANALITIKA EU PROJEKATA'!$G$3:$G$586,'ANALITIKA EU PROJEKATA'!$A$3:$A$586,"=11",'ANALITIKA EU PROJEKATA'!$K$3:$K$586,"=343")</f>
        <v>192000</v>
      </c>
      <c r="F18" s="138">
        <f>SUMIFS('Plan rashoda za unos u SAP'!$I$3:$I$525,'Plan rashoda za unos u SAP'!$C$3:$C$525,"=12",'Plan rashoda za unos u SAP'!$M$3:$M$525,"=343")+SUMIFS('ANALITIKA EU PROJEKATA'!$G$3:$G$586,'ANALITIKA EU PROJEKATA'!$A$3:$A$586,"=12",'ANALITIKA EU PROJEKATA'!$K$3:$K$586,"=343")</f>
        <v>0</v>
      </c>
      <c r="G18" s="138">
        <f>SUMIFS('Plan rashoda za unos u SAP'!$I$3:$I$525,'Plan rashoda za unos u SAP'!$C$3:$C$525,"=31",'Plan rashoda za unos u SAP'!$M$3:$M$525,"=343")+SUMIFS('ANALITIKA EU PROJEKATA'!$G$3:$G$586,'ANALITIKA EU PROJEKATA'!$A$3:$A$586,"=31",'ANALITIKA EU PROJEKATA'!$K$3:$K$586,"=343")</f>
        <v>31500</v>
      </c>
      <c r="H18" s="138">
        <f>SUMIFS('Plan rashoda za unos u SAP'!$I$3:$I$525,'Plan rashoda za unos u SAP'!$C$3:$C$525,"=41",'Plan rashoda za unos u SAP'!$M$3:$M$525,"=343")+SUMIFS('ANALITIKA EU PROJEKATA'!$G$3:$G$586,'ANALITIKA EU PROJEKATA'!$A$3:$A$586,"=41",'ANALITIKA EU PROJEKATA'!$K$3:$K$586,"=343")</f>
        <v>0</v>
      </c>
      <c r="I18" s="138">
        <f>SUMIFS('Plan rashoda za unos u SAP'!$I$3:$I$525,'Plan rashoda za unos u SAP'!$C$3:$C$525,"=43",'Plan rashoda za unos u SAP'!$M$3:$M$525,"=343")+SUMIFS('ANALITIKA EU PROJEKATA'!$G$3:$G$586,'ANALITIKA EU PROJEKATA'!$A$3:$A$586,"=43",'ANALITIKA EU PROJEKATA'!$K$3:$K$586,"=343")</f>
        <v>40086</v>
      </c>
      <c r="J18" s="138">
        <f>SUMIFS('Plan rashoda za unos u SAP'!$I$3:$I$525,'Plan rashoda za unos u SAP'!$C$3:$C$525,"=51",'Plan rashoda za unos u SAP'!$M$3:$M$525,"=343")+SUMIFS('ANALITIKA EU PROJEKATA'!$G$3:$G$586,'ANALITIKA EU PROJEKATA'!$A$3:$A$586,"=51",'ANALITIKA EU PROJEKATA'!$K$3:$K$586,"=343")</f>
        <v>0</v>
      </c>
      <c r="K18" s="138">
        <f>SUMIFS('Plan rashoda za unos u SAP'!$I$3:$I$525,'Plan rashoda za unos u SAP'!$C$3:$C$525,"=52",'Plan rashoda za unos u SAP'!$M$3:$M$525,"=343")+SUMIFS('ANALITIKA EU PROJEKATA'!$G$3:$G$586,'ANALITIKA EU PROJEKATA'!$A$3:$A$586,"=52",'ANALITIKA EU PROJEKATA'!$K$3:$K$586,"=343")</f>
        <v>0</v>
      </c>
      <c r="L18" s="138">
        <f>SUMIFS('Plan rashoda za unos u SAP'!$I$3:$I$525,'Plan rashoda za unos u SAP'!$C$3:$C$525,"=552",'Plan rashoda za unos u SAP'!$M$3:$M$525,"=343")+SUMIFS('ANALITIKA EU PROJEKATA'!$G$3:$G$586,'ANALITIKA EU PROJEKATA'!$A$3:$A$586,"=552",'ANALITIKA EU PROJEKATA'!$K$3:$K$586,"=343")</f>
        <v>0</v>
      </c>
      <c r="M18" s="138">
        <f>SUMIFS('Plan rashoda za unos u SAP'!$I$3:$I$525,'Plan rashoda za unos u SAP'!$C$3:$C$525,"=559",'Plan rashoda za unos u SAP'!$M$3:$M$525,"=343")+SUMIFS('ANALITIKA EU PROJEKATA'!$G$3:$G$586,'ANALITIKA EU PROJEKATA'!$A$3:$A$586,"=559",'ANALITIKA EU PROJEKATA'!$K$3:$K$586,"=343")</f>
        <v>0</v>
      </c>
      <c r="N18" s="138">
        <f>SUMIFS('Plan rashoda za unos u SAP'!$I$3:$I$525,'Plan rashoda za unos u SAP'!$C$3:$C$525,"=561",'Plan rashoda za unos u SAP'!$M$3:$M$525,"=343")+SUMIFS('ANALITIKA EU PROJEKATA'!$G$3:$G$586,'ANALITIKA EU PROJEKATA'!$A$3:$A$586,"=561",'ANALITIKA EU PROJEKATA'!$K$3:$K$586,"=343")</f>
        <v>0</v>
      </c>
      <c r="O18" s="138">
        <f>SUMIFS('Plan rashoda za unos u SAP'!$I$3:$I$525,'Plan rashoda za unos u SAP'!$C$3:$C$525,"=563",'Plan rashoda za unos u SAP'!$M$3:$M$525,"=343")+SUMIFS('ANALITIKA EU PROJEKATA'!$G$3:$G$586,'ANALITIKA EU PROJEKATA'!$A$3:$A$586,"=563",'ANALITIKA EU PROJEKATA'!$K$3:$K$586,"=343")</f>
        <v>0</v>
      </c>
      <c r="P18" s="138">
        <f>SUMIFS('Plan rashoda za unos u SAP'!$I$3:$I$525,'Plan rashoda za unos u SAP'!$C$3:$C$525,"=573",'Plan rashoda za unos u SAP'!$M$3:$M$525,"=343")+SUMIFS('ANALITIKA EU PROJEKATA'!$G$3:$G$586,'ANALITIKA EU PROJEKATA'!$A$3:$A$586,"=573",'ANALITIKA EU PROJEKATA'!$K$3:$K$586,"=343")</f>
        <v>0</v>
      </c>
      <c r="Q18" s="138">
        <f>SUMIFS('Plan rashoda za unos u SAP'!$I$3:$I$525,'Plan rashoda za unos u SAP'!$C$3:$C$525,"=575",'Plan rashoda za unos u SAP'!$M$3:$M$525,"=343")+SUMIFS('ANALITIKA EU PROJEKATA'!$G$3:$G$586,'ANALITIKA EU PROJEKATA'!$A$3:$A$586,"=575",'ANALITIKA EU PROJEKATA'!$K$3:$K$586,"=343")</f>
        <v>0</v>
      </c>
      <c r="R18" s="138">
        <f>SUMIFS('Plan rashoda za unos u SAP'!$I$3:$I$525,'Plan rashoda za unos u SAP'!$C$3:$C$525,"=576",'Plan rashoda za unos u SAP'!$M$3:$M$525,"=343")+SUMIFS('ANALITIKA EU PROJEKATA'!$G$3:$G$586,'ANALITIKA EU PROJEKATA'!$A$3:$A$586,"=576",'ANALITIKA EU PROJEKATA'!$K$3:$K$586,"=343")</f>
        <v>0</v>
      </c>
      <c r="S18" s="138">
        <f>SUMIFS('Plan rashoda za unos u SAP'!$I$3:$I$525,'Plan rashoda za unos u SAP'!$C$3:$C$525,"=581",'Plan rashoda za unos u SAP'!$M$3:$M$525,"=343")+SUMIFS('ANALITIKA EU PROJEKATA'!$G$3:$G$586,'ANALITIKA EU PROJEKATA'!$A$3:$A$586,"=581",'ANALITIKA EU PROJEKATA'!$K$3:$K$586,"=343")</f>
        <v>0</v>
      </c>
      <c r="T18" s="138">
        <f>SUMIFS('Plan rashoda za unos u SAP'!$I$3:$I$525,'Plan rashoda za unos u SAP'!$C$3:$C$525,"=61",'Plan rashoda za unos u SAP'!$M$3:$M$525,"=343")+SUMIFS('ANALITIKA EU PROJEKATA'!$G$3:$G$586,'ANALITIKA EU PROJEKATA'!$A$3:$A$586,"=61",'ANALITIKA EU PROJEKATA'!$K$3:$K$586,"=343")</f>
        <v>0</v>
      </c>
      <c r="U18" s="138">
        <f>SUMIFS('Plan rashoda za unos u SAP'!$I$3:$I$525,'Plan rashoda za unos u SAP'!$C$3:$C$525,"=63",'Plan rashoda za unos u SAP'!$M$3:$M$525,"=343")+SUMIFS('ANALITIKA EU PROJEKATA'!$G$3:$G$586,'ANALITIKA EU PROJEKATA'!$A$3:$A$586,"=63",'ANALITIKA EU PROJEKATA'!$K$3:$K$586,"=343")</f>
        <v>0</v>
      </c>
      <c r="V18" s="138">
        <f>SUMIFS('Plan rashoda za unos u SAP'!$I$3:$I$525,'Plan rashoda za unos u SAP'!$C$3:$C$525,"=71",'Plan rashoda za unos u SAP'!$M$3:$M$525,"=343")+SUMIFS('ANALITIKA EU PROJEKATA'!$G$3:$G$586,'ANALITIKA EU PROJEKATA'!$A$3:$A$586,"=71",'ANALITIKA EU PROJEKATA'!$K$3:$K$586,"=343")</f>
        <v>0</v>
      </c>
      <c r="W18" s="138">
        <f>SUMIFS('Plan rashoda za unos u SAP'!$I$3:$I$525,'Plan rashoda za unos u SAP'!$C$3:$C$525,"=81",'Plan rashoda za unos u SAP'!$M$3:$M$525,"=343")+SUMIFS('ANALITIKA EU PROJEKATA'!$G$3:$G$586,'ANALITIKA EU PROJEKATA'!$A$3:$A$586,"=81",'ANALITIKA EU PROJEKATA'!$K$3:$K$586,"=343")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320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SAP'!$I$3:$I$525,'Plan rashoda za unos u SAP'!$C$3:$C$525,"=11",'Plan rashoda za unos u SAP'!$M$3:$M$525,"=351")+SUMIFS('ANALITIKA EU PROJEKATA'!$G$3:$G$586,'ANALITIKA EU PROJEKATA'!$A$3:$A$586,"=11",'ANALITIKA EU PROJEKATA'!$K$3:$K$586,"=351")</f>
        <v>0</v>
      </c>
      <c r="F20" s="138">
        <f>SUMIFS('Plan rashoda za unos u SAP'!$I$3:$I$525,'Plan rashoda za unos u SAP'!$C$3:$C$525,"=12",'Plan rashoda za unos u SAP'!$M$3:$M$525,"=351")+SUMIFS('ANALITIKA EU PROJEKATA'!$G$3:$G$586,'ANALITIKA EU PROJEKATA'!$A$3:$A$586,"=12",'ANALITIKA EU PROJEKATA'!$K$3:$K$586,"=351")</f>
        <v>0</v>
      </c>
      <c r="G20" s="138">
        <f>SUMIFS('Plan rashoda za unos u SAP'!$I$3:$I$525,'Plan rashoda za unos u SAP'!$C$3:$C$525,"=31",'Plan rashoda za unos u SAP'!$M$3:$M$525,"=351")+SUMIFS('ANALITIKA EU PROJEKATA'!$G$3:$G$586,'ANALITIKA EU PROJEKATA'!$A$3:$A$586,"=31",'ANALITIKA EU PROJEKATA'!$K$3:$K$586,"=351")</f>
        <v>0</v>
      </c>
      <c r="H20" s="138">
        <f>SUMIFS('Plan rashoda za unos u SAP'!$I$3:$I$525,'Plan rashoda za unos u SAP'!$C$3:$C$525,"=41",'Plan rashoda za unos u SAP'!$M$3:$M$525,"=351")+SUMIFS('ANALITIKA EU PROJEKATA'!$G$3:$G$586,'ANALITIKA EU PROJEKATA'!$A$3:$A$586,"=41",'ANALITIKA EU PROJEKATA'!$K$3:$K$586,"=351")</f>
        <v>0</v>
      </c>
      <c r="I20" s="138">
        <f>SUMIFS('Plan rashoda za unos u SAP'!$I$3:$I$525,'Plan rashoda za unos u SAP'!$C$3:$C$525,"=43",'Plan rashoda za unos u SAP'!$M$3:$M$525,"=351")+SUMIFS('ANALITIKA EU PROJEKATA'!$G$3:$G$586,'ANALITIKA EU PROJEKATA'!$A$3:$A$586,"=43",'ANALITIKA EU PROJEKATA'!$K$3:$K$586,"=351")</f>
        <v>0</v>
      </c>
      <c r="J20" s="138">
        <f>SUMIFS('Plan rashoda za unos u SAP'!$I$3:$I$525,'Plan rashoda za unos u SAP'!$C$3:$C$525,"=51",'Plan rashoda za unos u SAP'!$M$3:$M$525,"=351")+SUMIFS('ANALITIKA EU PROJEKATA'!$G$3:$G$586,'ANALITIKA EU PROJEKATA'!$A$3:$A$586,"=51",'ANALITIKA EU PROJEKATA'!$K$3:$K$586,"=351")</f>
        <v>0</v>
      </c>
      <c r="K20" s="138">
        <f>SUMIFS('Plan rashoda za unos u SAP'!$I$3:$I$525,'Plan rashoda za unos u SAP'!$C$3:$C$525,"=52",'Plan rashoda za unos u SAP'!$M$3:$M$525,"=351")+SUMIFS('ANALITIKA EU PROJEKATA'!$G$3:$G$586,'ANALITIKA EU PROJEKATA'!$A$3:$A$586,"=52",'ANALITIKA EU PROJEKATA'!$K$3:$K$586,"=351")</f>
        <v>0</v>
      </c>
      <c r="L20" s="138">
        <f>SUMIFS('Plan rashoda za unos u SAP'!$I$3:$I$525,'Plan rashoda za unos u SAP'!$C$3:$C$525,"=552",'Plan rashoda za unos u SAP'!$M$3:$M$525,"=351")+SUMIFS('ANALITIKA EU PROJEKATA'!$G$3:$G$586,'ANALITIKA EU PROJEKATA'!$A$3:$A$586,"=552",'ANALITIKA EU PROJEKATA'!$K$3:$K$586,"=351")</f>
        <v>0</v>
      </c>
      <c r="M20" s="138">
        <f>SUMIFS('Plan rashoda za unos u SAP'!$I$3:$I$525,'Plan rashoda za unos u SAP'!$C$3:$C$525,"=559",'Plan rashoda za unos u SAP'!$M$3:$M$525,"=351")+SUMIFS('ANALITIKA EU PROJEKATA'!$G$3:$G$586,'ANALITIKA EU PROJEKATA'!$A$3:$A$586,"=559",'ANALITIKA EU PROJEKATA'!$K$3:$K$586,"=351")</f>
        <v>0</v>
      </c>
      <c r="N20" s="138">
        <f>SUMIFS('Plan rashoda za unos u SAP'!$I$3:$I$525,'Plan rashoda za unos u SAP'!$C$3:$C$525,"=561",'Plan rashoda za unos u SAP'!$M$3:$M$525,"=351")+SUMIFS('ANALITIKA EU PROJEKATA'!$G$3:$G$586,'ANALITIKA EU PROJEKATA'!$A$3:$A$586,"=561",'ANALITIKA EU PROJEKATA'!$K$3:$K$586,"=351")</f>
        <v>0</v>
      </c>
      <c r="O20" s="138">
        <f>SUMIFS('Plan rashoda za unos u SAP'!$I$3:$I$525,'Plan rashoda za unos u SAP'!$C$3:$C$525,"=563",'Plan rashoda za unos u SAP'!$M$3:$M$525,"=351")+SUMIFS('ANALITIKA EU PROJEKATA'!$G$3:$G$586,'ANALITIKA EU PROJEKATA'!$A$3:$A$586,"=563",'ANALITIKA EU PROJEKATA'!$K$3:$K$586,"=351")</f>
        <v>0</v>
      </c>
      <c r="P20" s="138">
        <f>SUMIFS('Plan rashoda za unos u SAP'!$I$3:$I$525,'Plan rashoda za unos u SAP'!$C$3:$C$525,"=573",'Plan rashoda za unos u SAP'!$M$3:$M$525,"=351")+SUMIFS('ANALITIKA EU PROJEKATA'!$G$3:$G$586,'ANALITIKA EU PROJEKATA'!$A$3:$A$586,"=573",'ANALITIKA EU PROJEKATA'!$K$3:$K$586,"=351")</f>
        <v>0</v>
      </c>
      <c r="Q20" s="138">
        <f>SUMIFS('Plan rashoda za unos u SAP'!$I$3:$I$525,'Plan rashoda za unos u SAP'!$C$3:$C$525,"=575",'Plan rashoda za unos u SAP'!$M$3:$M$525,"=351")+SUMIFS('ANALITIKA EU PROJEKATA'!$G$3:$G$586,'ANALITIKA EU PROJEKATA'!$A$3:$A$586,"=575",'ANALITIKA EU PROJEKATA'!$K$3:$K$586,"=351")</f>
        <v>0</v>
      </c>
      <c r="R20" s="138">
        <f>SUMIFS('Plan rashoda za unos u SAP'!$I$3:$I$525,'Plan rashoda za unos u SAP'!$C$3:$C$525,"=576",'Plan rashoda za unos u SAP'!$M$3:$M$525,"=351")+SUMIFS('ANALITIKA EU PROJEKATA'!$G$3:$G$586,'ANALITIKA EU PROJEKATA'!$A$3:$A$586,"=576",'ANALITIKA EU PROJEKATA'!$K$3:$K$586,"=351")</f>
        <v>0</v>
      </c>
      <c r="S20" s="138">
        <f>SUMIFS('Plan rashoda za unos u SAP'!$I$3:$I$525,'Plan rashoda za unos u SAP'!$C$3:$C$525,"=581",'Plan rashoda za unos u SAP'!$M$3:$M$525,"=351")+SUMIFS('ANALITIKA EU PROJEKATA'!$G$3:$G$586,'ANALITIKA EU PROJEKATA'!$A$3:$A$586,"=581",'ANALITIKA EU PROJEKATA'!$K$3:$K$586,"=351")</f>
        <v>0</v>
      </c>
      <c r="T20" s="138">
        <f>SUMIFS('Plan rashoda za unos u SAP'!$I$3:$I$525,'Plan rashoda za unos u SAP'!$C$3:$C$525,"=61",'Plan rashoda za unos u SAP'!$M$3:$M$525,"=351")+SUMIFS('ANALITIKA EU PROJEKATA'!$G$3:$G$586,'ANALITIKA EU PROJEKATA'!$A$3:$A$586,"=61",'ANALITIKA EU PROJEKATA'!$K$3:$K$586,"=351")</f>
        <v>0</v>
      </c>
      <c r="U20" s="138">
        <f>SUMIFS('Plan rashoda za unos u SAP'!$I$3:$I$525,'Plan rashoda za unos u SAP'!$C$3:$C$525,"=63",'Plan rashoda za unos u SAP'!$M$3:$M$525,"=351")+SUMIFS('ANALITIKA EU PROJEKATA'!$G$3:$G$586,'ANALITIKA EU PROJEKATA'!$A$3:$A$586,"=63",'ANALITIKA EU PROJEKATA'!$K$3:$K$586,"=351")</f>
        <v>0</v>
      </c>
      <c r="V20" s="138">
        <f>SUMIFS('Plan rashoda za unos u SAP'!$I$3:$I$525,'Plan rashoda za unos u SAP'!$C$3:$C$525,"=71",'Plan rashoda za unos u SAP'!$M$3:$M$525,"=351")+SUMIFS('ANALITIKA EU PROJEKATA'!$G$3:$G$586,'ANALITIKA EU PROJEKATA'!$A$3:$A$586,"=71",'ANALITIKA EU PROJEKATA'!$K$3:$K$586,"=351")</f>
        <v>0</v>
      </c>
      <c r="W20" s="138">
        <f>SUMIFS('Plan rashoda za unos u SAP'!$I$3:$I$525,'Plan rashoda za unos u SAP'!$C$3:$C$525,"=81",'Plan rashoda za unos u SAP'!$M$3:$M$525,"=351")+SUMIFS('ANALITIKA EU PROJEKATA'!$G$3:$G$586,'ANALITIKA EU PROJEKATA'!$A$3:$A$586,"=81",'ANALITIKA EU PROJEKATA'!$K$3:$K$586,"=351")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321</v>
      </c>
      <c r="D21" s="14">
        <f t="shared" si="0"/>
        <v>0</v>
      </c>
      <c r="E21" s="138">
        <f>SUMIFS('Plan rashoda za unos u SAP'!$I$3:$I$525,'Plan rashoda za unos u SAP'!$C$3:$C$525,"=11",'Plan rashoda za unos u SAP'!$M$3:$M$525,"=352")+SUMIFS('ANALITIKA EU PROJEKATA'!$G$3:$G$586,'ANALITIKA EU PROJEKATA'!$A$3:$A$586,"=11",'ANALITIKA EU PROJEKATA'!$K$3:$K$586,"=352")</f>
        <v>0</v>
      </c>
      <c r="F21" s="138">
        <f>SUMIFS('Plan rashoda za unos u SAP'!$I$3:$I$525,'Plan rashoda za unos u SAP'!$C$3:$C$525,"=12",'Plan rashoda za unos u SAP'!$M$3:$M$525,"=352")+SUMIFS('ANALITIKA EU PROJEKATA'!$G$3:$G$586,'ANALITIKA EU PROJEKATA'!$A$3:$A$586,"=12",'ANALITIKA EU PROJEKATA'!$K$3:$K$586,"=352")</f>
        <v>0</v>
      </c>
      <c r="G21" s="138">
        <f>SUMIFS('Plan rashoda za unos u SAP'!$I$3:$I$525,'Plan rashoda za unos u SAP'!$C$3:$C$525,"=31",'Plan rashoda za unos u SAP'!$M$3:$M$525,"=352")+SUMIFS('ANALITIKA EU PROJEKATA'!$G$3:$G$586,'ANALITIKA EU PROJEKATA'!$A$3:$A$586,"=31",'ANALITIKA EU PROJEKATA'!$K$3:$K$586,"=352")</f>
        <v>0</v>
      </c>
      <c r="H21" s="138">
        <f>SUMIFS('Plan rashoda za unos u SAP'!$I$3:$I$525,'Plan rashoda za unos u SAP'!$C$3:$C$525,"=41",'Plan rashoda za unos u SAP'!$M$3:$M$525,"=352")+SUMIFS('ANALITIKA EU PROJEKATA'!$G$3:$G$586,'ANALITIKA EU PROJEKATA'!$A$3:$A$586,"=41",'ANALITIKA EU PROJEKATA'!$K$3:$K$586,"=352")</f>
        <v>0</v>
      </c>
      <c r="I21" s="138">
        <f>SUMIFS('Plan rashoda za unos u SAP'!$I$3:$I$525,'Plan rashoda za unos u SAP'!$C$3:$C$525,"=43",'Plan rashoda za unos u SAP'!$M$3:$M$525,"=352")+SUMIFS('ANALITIKA EU PROJEKATA'!$G$3:$G$586,'ANALITIKA EU PROJEKATA'!$A$3:$A$586,"=43",'ANALITIKA EU PROJEKATA'!$K$3:$K$586,"=352")</f>
        <v>0</v>
      </c>
      <c r="J21" s="138">
        <f>SUMIFS('Plan rashoda za unos u SAP'!$I$3:$I$525,'Plan rashoda za unos u SAP'!$C$3:$C$525,"=51",'Plan rashoda za unos u SAP'!$M$3:$M$525,"=352")+SUMIFS('ANALITIKA EU PROJEKATA'!$G$3:$G$586,'ANALITIKA EU PROJEKATA'!$A$3:$A$586,"=51",'ANALITIKA EU PROJEKATA'!$K$3:$K$586,"=352")</f>
        <v>0</v>
      </c>
      <c r="K21" s="138">
        <f>SUMIFS('Plan rashoda za unos u SAP'!$I$3:$I$525,'Plan rashoda za unos u SAP'!$C$3:$C$525,"=52",'Plan rashoda za unos u SAP'!$M$3:$M$525,"=352")+SUMIFS('ANALITIKA EU PROJEKATA'!$G$3:$G$586,'ANALITIKA EU PROJEKATA'!$A$3:$A$586,"=52",'ANALITIKA EU PROJEKATA'!$K$3:$K$586,"=352")</f>
        <v>0</v>
      </c>
      <c r="L21" s="138">
        <f>SUMIFS('Plan rashoda za unos u SAP'!$I$3:$I$525,'Plan rashoda za unos u SAP'!$C$3:$C$525,"=552",'Plan rashoda za unos u SAP'!$M$3:$M$525,"=352")+SUMIFS('ANALITIKA EU PROJEKATA'!$G$3:$G$586,'ANALITIKA EU PROJEKATA'!$A$3:$A$586,"=552",'ANALITIKA EU PROJEKATA'!$K$3:$K$586,"=352")</f>
        <v>0</v>
      </c>
      <c r="M21" s="138">
        <f>SUMIFS('Plan rashoda za unos u SAP'!$I$3:$I$525,'Plan rashoda za unos u SAP'!$C$3:$C$525,"=559",'Plan rashoda za unos u SAP'!$M$3:$M$525,"=352")+SUMIFS('ANALITIKA EU PROJEKATA'!$G$3:$G$586,'ANALITIKA EU PROJEKATA'!$A$3:$A$586,"=559",'ANALITIKA EU PROJEKATA'!$K$3:$K$586,"=352")</f>
        <v>0</v>
      </c>
      <c r="N21" s="138">
        <f>SUMIFS('Plan rashoda za unos u SAP'!$I$3:$I$525,'Plan rashoda za unos u SAP'!$C$3:$C$525,"=561",'Plan rashoda za unos u SAP'!$M$3:$M$525,"=352")+SUMIFS('ANALITIKA EU PROJEKATA'!$G$3:$G$586,'ANALITIKA EU PROJEKATA'!$A$3:$A$586,"=561",'ANALITIKA EU PROJEKATA'!$K$3:$K$586,"=352")</f>
        <v>0</v>
      </c>
      <c r="O21" s="138">
        <f>SUMIFS('Plan rashoda za unos u SAP'!$I$3:$I$525,'Plan rashoda za unos u SAP'!$C$3:$C$525,"=563",'Plan rashoda za unos u SAP'!$M$3:$M$525,"=352")+SUMIFS('ANALITIKA EU PROJEKATA'!$G$3:$G$586,'ANALITIKA EU PROJEKATA'!$A$3:$A$586,"=563",'ANALITIKA EU PROJEKATA'!$K$3:$K$586,"=352")</f>
        <v>0</v>
      </c>
      <c r="P21" s="138">
        <f>SUMIFS('Plan rashoda za unos u SAP'!$I$3:$I$525,'Plan rashoda za unos u SAP'!$C$3:$C$525,"=573",'Plan rashoda za unos u SAP'!$M$3:$M$525,"=352")+SUMIFS('ANALITIKA EU PROJEKATA'!$G$3:$G$586,'ANALITIKA EU PROJEKATA'!$A$3:$A$586,"=573",'ANALITIKA EU PROJEKATA'!$K$3:$K$586,"=352")</f>
        <v>0</v>
      </c>
      <c r="Q21" s="138">
        <f>SUMIFS('Plan rashoda za unos u SAP'!$I$3:$I$525,'Plan rashoda za unos u SAP'!$C$3:$C$525,"=575",'Plan rashoda za unos u SAP'!$M$3:$M$525,"=352")+SUMIFS('ANALITIKA EU PROJEKATA'!$G$3:$G$586,'ANALITIKA EU PROJEKATA'!$A$3:$A$586,"=575",'ANALITIKA EU PROJEKATA'!$K$3:$K$586,"=352")</f>
        <v>0</v>
      </c>
      <c r="R21" s="138">
        <f>SUMIFS('Plan rashoda za unos u SAP'!$I$3:$I$525,'Plan rashoda za unos u SAP'!$C$3:$C$525,"=576",'Plan rashoda za unos u SAP'!$M$3:$M$525,"=352")+SUMIFS('ANALITIKA EU PROJEKATA'!$G$3:$G$586,'ANALITIKA EU PROJEKATA'!$A$3:$A$586,"=576",'ANALITIKA EU PROJEKATA'!$K$3:$K$586,"=352")</f>
        <v>0</v>
      </c>
      <c r="S21" s="138">
        <f>SUMIFS('Plan rashoda za unos u SAP'!$I$3:$I$525,'Plan rashoda za unos u SAP'!$C$3:$C$525,"=581",'Plan rashoda za unos u SAP'!$M$3:$M$525,"=352")+SUMIFS('ANALITIKA EU PROJEKATA'!$G$3:$G$586,'ANALITIKA EU PROJEKATA'!$A$3:$A$586,"=581",'ANALITIKA EU PROJEKATA'!$K$3:$K$586,"=352")</f>
        <v>0</v>
      </c>
      <c r="T21" s="138">
        <f>SUMIFS('Plan rashoda za unos u SAP'!$I$3:$I$525,'Plan rashoda za unos u SAP'!$C$3:$C$525,"=61",'Plan rashoda za unos u SAP'!$M$3:$M$525,"=352")+SUMIFS('ANALITIKA EU PROJEKATA'!$G$3:$G$586,'ANALITIKA EU PROJEKATA'!$A$3:$A$586,"=61",'ANALITIKA EU PROJEKATA'!$K$3:$K$586,"=352")</f>
        <v>0</v>
      </c>
      <c r="U21" s="138">
        <f>SUMIFS('Plan rashoda za unos u SAP'!$I$3:$I$525,'Plan rashoda za unos u SAP'!$C$3:$C$525,"=63",'Plan rashoda za unos u SAP'!$M$3:$M$525,"=352")+SUMIFS('ANALITIKA EU PROJEKATA'!$G$3:$G$586,'ANALITIKA EU PROJEKATA'!$A$3:$A$586,"=63",'ANALITIKA EU PROJEKATA'!$K$3:$K$586,"=352")</f>
        <v>0</v>
      </c>
      <c r="V21" s="138">
        <f>SUMIFS('Plan rashoda za unos u SAP'!$I$3:$I$525,'Plan rashoda za unos u SAP'!$C$3:$C$525,"=71",'Plan rashoda za unos u SAP'!$M$3:$M$525,"=352")+SUMIFS('ANALITIKA EU PROJEKATA'!$G$3:$G$586,'ANALITIKA EU PROJEKATA'!$A$3:$A$586,"=71",'ANALITIKA EU PROJEKATA'!$K$3:$K$586,"=352")</f>
        <v>0</v>
      </c>
      <c r="W21" s="138">
        <f>SUMIFS('Plan rashoda za unos u SAP'!$I$3:$I$525,'Plan rashoda za unos u SAP'!$C$3:$C$525,"=81",'Plan rashoda za unos u SAP'!$M$3:$M$525,"=352")+SUMIFS('ANALITIKA EU PROJEKATA'!$G$3:$G$586,'ANALITIKA EU PROJEKATA'!$A$3:$A$586,"=81",'ANALITIKA EU PROJEKATA'!$K$3:$K$586,"=352")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322</v>
      </c>
      <c r="D22" s="14">
        <f t="shared" si="0"/>
        <v>0</v>
      </c>
      <c r="E22" s="138">
        <f>SUMIFS('Plan rashoda za unos u SAP'!$I$3:$I$525,'Plan rashoda za unos u SAP'!$C$3:$C$525,"=11",'Plan rashoda za unos u SAP'!$M$3:$M$525,"=353")+SUMIFS('ANALITIKA EU PROJEKATA'!$G$3:$G$586,'ANALITIKA EU PROJEKATA'!$A$3:$A$586,"=11",'ANALITIKA EU PROJEKATA'!$K$3:$K$586,"=353")</f>
        <v>0</v>
      </c>
      <c r="F22" s="138">
        <f>SUMIFS('Plan rashoda za unos u SAP'!$I$3:$I$525,'Plan rashoda za unos u SAP'!$C$3:$C$525,"=12",'Plan rashoda za unos u SAP'!$M$3:$M$525,"=353")+SUMIFS('ANALITIKA EU PROJEKATA'!$G$3:$G$586,'ANALITIKA EU PROJEKATA'!$A$3:$A$586,"=12",'ANALITIKA EU PROJEKATA'!$K$3:$K$586,"=353")</f>
        <v>0</v>
      </c>
      <c r="G22" s="138">
        <f>SUMIFS('Plan rashoda za unos u SAP'!$I$3:$I$525,'Plan rashoda za unos u SAP'!$C$3:$C$525,"=31",'Plan rashoda za unos u SAP'!$M$3:$M$525,"=353")+SUMIFS('ANALITIKA EU PROJEKATA'!$G$3:$G$586,'ANALITIKA EU PROJEKATA'!$A$3:$A$586,"=31",'ANALITIKA EU PROJEKATA'!$K$3:$K$586,"=353")</f>
        <v>0</v>
      </c>
      <c r="H22" s="138">
        <f>SUMIFS('Plan rashoda za unos u SAP'!$I$3:$I$525,'Plan rashoda za unos u SAP'!$C$3:$C$525,"=41",'Plan rashoda za unos u SAP'!$M$3:$M$525,"=353")+SUMIFS('ANALITIKA EU PROJEKATA'!$G$3:$G$586,'ANALITIKA EU PROJEKATA'!$A$3:$A$586,"=41",'ANALITIKA EU PROJEKATA'!$K$3:$K$586,"=353")</f>
        <v>0</v>
      </c>
      <c r="I22" s="138">
        <f>SUMIFS('Plan rashoda za unos u SAP'!$I$3:$I$525,'Plan rashoda za unos u SAP'!$C$3:$C$525,"=43",'Plan rashoda za unos u SAP'!$M$3:$M$525,"=353")+SUMIFS('ANALITIKA EU PROJEKATA'!$G$3:$G$586,'ANALITIKA EU PROJEKATA'!$A$3:$A$586,"=43",'ANALITIKA EU PROJEKATA'!$K$3:$K$586,"=353")</f>
        <v>0</v>
      </c>
      <c r="J22" s="138">
        <f>SUMIFS('Plan rashoda za unos u SAP'!$I$3:$I$525,'Plan rashoda za unos u SAP'!$C$3:$C$525,"=51",'Plan rashoda za unos u SAP'!$M$3:$M$525,"=353")+SUMIFS('ANALITIKA EU PROJEKATA'!$G$3:$G$586,'ANALITIKA EU PROJEKATA'!$A$3:$A$586,"=51",'ANALITIKA EU PROJEKATA'!$K$3:$K$586,"=353")</f>
        <v>0</v>
      </c>
      <c r="K22" s="138">
        <f>SUMIFS('Plan rashoda za unos u SAP'!$I$3:$I$525,'Plan rashoda za unos u SAP'!$C$3:$C$525,"=52",'Plan rashoda za unos u SAP'!$M$3:$M$525,"=353")+SUMIFS('ANALITIKA EU PROJEKATA'!$G$3:$G$586,'ANALITIKA EU PROJEKATA'!$A$3:$A$586,"=52",'ANALITIKA EU PROJEKATA'!$K$3:$K$586,"=353")</f>
        <v>0</v>
      </c>
      <c r="L22" s="138">
        <f>SUMIFS('Plan rashoda za unos u SAP'!$I$3:$I$525,'Plan rashoda za unos u SAP'!$C$3:$C$525,"=552",'Plan rashoda za unos u SAP'!$M$3:$M$525,"=353")+SUMIFS('ANALITIKA EU PROJEKATA'!$G$3:$G$586,'ANALITIKA EU PROJEKATA'!$A$3:$A$586,"=552",'ANALITIKA EU PROJEKATA'!$K$3:$K$586,"=353")</f>
        <v>0</v>
      </c>
      <c r="M22" s="138">
        <f>SUMIFS('Plan rashoda za unos u SAP'!$I$3:$I$525,'Plan rashoda za unos u SAP'!$C$3:$C$525,"=559",'Plan rashoda za unos u SAP'!$M$3:$M$525,"=353")+SUMIFS('ANALITIKA EU PROJEKATA'!$G$3:$G$586,'ANALITIKA EU PROJEKATA'!$A$3:$A$586,"=559",'ANALITIKA EU PROJEKATA'!$K$3:$K$586,"=353")</f>
        <v>0</v>
      </c>
      <c r="N22" s="138">
        <f>SUMIFS('Plan rashoda za unos u SAP'!$I$3:$I$525,'Plan rashoda za unos u SAP'!$C$3:$C$525,"=561",'Plan rashoda za unos u SAP'!$M$3:$M$525,"=353")+SUMIFS('ANALITIKA EU PROJEKATA'!$G$3:$G$586,'ANALITIKA EU PROJEKATA'!$A$3:$A$586,"=561",'ANALITIKA EU PROJEKATA'!$K$3:$K$586,"=353")</f>
        <v>0</v>
      </c>
      <c r="O22" s="138">
        <f>SUMIFS('Plan rashoda za unos u SAP'!$I$3:$I$525,'Plan rashoda za unos u SAP'!$C$3:$C$525,"=563",'Plan rashoda za unos u SAP'!$M$3:$M$525,"=353")+SUMIFS('ANALITIKA EU PROJEKATA'!$G$3:$G$586,'ANALITIKA EU PROJEKATA'!$A$3:$A$586,"=563",'ANALITIKA EU PROJEKATA'!$K$3:$K$586,"=353")</f>
        <v>0</v>
      </c>
      <c r="P22" s="138">
        <f>SUMIFS('Plan rashoda za unos u SAP'!$I$3:$I$525,'Plan rashoda za unos u SAP'!$C$3:$C$525,"=573",'Plan rashoda za unos u SAP'!$M$3:$M$525,"=353")+SUMIFS('ANALITIKA EU PROJEKATA'!$G$3:$G$586,'ANALITIKA EU PROJEKATA'!$A$3:$A$586,"=573",'ANALITIKA EU PROJEKATA'!$K$3:$K$586,"=353")</f>
        <v>0</v>
      </c>
      <c r="Q22" s="138">
        <f>SUMIFS('Plan rashoda za unos u SAP'!$I$3:$I$525,'Plan rashoda za unos u SAP'!$C$3:$C$525,"=575",'Plan rashoda za unos u SAP'!$M$3:$M$525,"=353")+SUMIFS('ANALITIKA EU PROJEKATA'!$G$3:$G$586,'ANALITIKA EU PROJEKATA'!$A$3:$A$586,"=575",'ANALITIKA EU PROJEKATA'!$K$3:$K$586,"=353")</f>
        <v>0</v>
      </c>
      <c r="R22" s="138">
        <f>SUMIFS('Plan rashoda za unos u SAP'!$I$3:$I$525,'Plan rashoda za unos u SAP'!$C$3:$C$525,"=576",'Plan rashoda za unos u SAP'!$M$3:$M$525,"=353")+SUMIFS('ANALITIKA EU PROJEKATA'!$G$3:$G$586,'ANALITIKA EU PROJEKATA'!$A$3:$A$586,"=576",'ANALITIKA EU PROJEKATA'!$K$3:$K$586,"=353")</f>
        <v>0</v>
      </c>
      <c r="S22" s="138">
        <f>SUMIFS('Plan rashoda za unos u SAP'!$I$3:$I$525,'Plan rashoda za unos u SAP'!$C$3:$C$525,"=581",'Plan rashoda za unos u SAP'!$M$3:$M$525,"=353")+SUMIFS('ANALITIKA EU PROJEKATA'!$G$3:$G$586,'ANALITIKA EU PROJEKATA'!$A$3:$A$586,"=581",'ANALITIKA EU PROJEKATA'!$K$3:$K$586,"=353")</f>
        <v>0</v>
      </c>
      <c r="T22" s="138">
        <f>SUMIFS('Plan rashoda za unos u SAP'!$I$3:$I$525,'Plan rashoda za unos u SAP'!$C$3:$C$525,"=61",'Plan rashoda za unos u SAP'!$M$3:$M$525,"=353")+SUMIFS('ANALITIKA EU PROJEKATA'!$G$3:$G$586,'ANALITIKA EU PROJEKATA'!$A$3:$A$586,"=61",'ANALITIKA EU PROJEKATA'!$K$3:$K$586,"=353")</f>
        <v>0</v>
      </c>
      <c r="U22" s="138">
        <f>SUMIFS('Plan rashoda za unos u SAP'!$I$3:$I$525,'Plan rashoda za unos u SAP'!$C$3:$C$525,"=63",'Plan rashoda za unos u SAP'!$M$3:$M$525,"=353")+SUMIFS('ANALITIKA EU PROJEKATA'!$G$3:$G$586,'ANALITIKA EU PROJEKATA'!$A$3:$A$586,"=63",'ANALITIKA EU PROJEKATA'!$K$3:$K$586,"=353")</f>
        <v>0</v>
      </c>
      <c r="V22" s="138">
        <f>SUMIFS('Plan rashoda za unos u SAP'!$I$3:$I$525,'Plan rashoda za unos u SAP'!$C$3:$C$525,"=71",'Plan rashoda za unos u SAP'!$M$3:$M$525,"=353")+SUMIFS('ANALITIKA EU PROJEKATA'!$G$3:$G$586,'ANALITIKA EU PROJEKATA'!$A$3:$A$586,"=71",'ANALITIKA EU PROJEKATA'!$K$3:$K$586,"=353")</f>
        <v>0</v>
      </c>
      <c r="W22" s="138">
        <f>SUMIFS('Plan rashoda za unos u SAP'!$I$3:$I$525,'Plan rashoda za unos u SAP'!$C$3:$C$525,"=81",'Plan rashoda za unos u SAP'!$M$3:$M$525,"=353")+SUMIFS('ANALITIKA EU PROJEKATA'!$G$3:$G$586,'ANALITIKA EU PROJEKATA'!$A$3:$A$586,"=81",'ANALITIKA EU PROJEKATA'!$K$3:$K$586,"=353")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103435</v>
      </c>
      <c r="E23" s="78">
        <f t="shared" ref="E23:W23" si="7">SUM(E24:E29)</f>
        <v>0</v>
      </c>
      <c r="F23" s="78">
        <f t="shared" si="7"/>
        <v>15515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87920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323</v>
      </c>
      <c r="D24" s="14">
        <f t="shared" si="0"/>
        <v>0</v>
      </c>
      <c r="E24" s="138">
        <f>SUMIFS('Plan rashoda za unos u SAP'!$I$3:$I$525,'Plan rashoda za unos u SAP'!$C$3:$C$525,"=11",'Plan rashoda za unos u SAP'!$M$3:$M$525,"=361")+SUMIFS('ANALITIKA EU PROJEKATA'!$G$3:$G$586,'ANALITIKA EU PROJEKATA'!$A$3:$A$586,"=11",'ANALITIKA EU PROJEKATA'!$K$3:$K$586,"=361")</f>
        <v>0</v>
      </c>
      <c r="F24" s="138">
        <f>SUMIFS('Plan rashoda za unos u SAP'!$I$3:$I$525,'Plan rashoda za unos u SAP'!$C$3:$C$525,"=12",'Plan rashoda za unos u SAP'!$M$3:$M$525,"=361")+SUMIFS('ANALITIKA EU PROJEKATA'!$G$3:$G$586,'ANALITIKA EU PROJEKATA'!$A$3:$A$586,"=12",'ANALITIKA EU PROJEKATA'!$K$3:$K$586,"=361")</f>
        <v>0</v>
      </c>
      <c r="G24" s="138">
        <f>SUMIFS('Plan rashoda za unos u SAP'!$I$3:$I$525,'Plan rashoda za unos u SAP'!$C$3:$C$525,"=31",'Plan rashoda za unos u SAP'!$M$3:$M$525,"=361")+SUMIFS('ANALITIKA EU PROJEKATA'!$G$3:$G$586,'ANALITIKA EU PROJEKATA'!$A$3:$A$586,"=31",'ANALITIKA EU PROJEKATA'!$K$3:$K$586,"=361")</f>
        <v>0</v>
      </c>
      <c r="H24" s="138">
        <f>SUMIFS('Plan rashoda za unos u SAP'!$I$3:$I$525,'Plan rashoda za unos u SAP'!$C$3:$C$525,"=41",'Plan rashoda za unos u SAP'!$M$3:$M$525,"=361")+SUMIFS('ANALITIKA EU PROJEKATA'!$G$3:$G$586,'ANALITIKA EU PROJEKATA'!$A$3:$A$586,"=41",'ANALITIKA EU PROJEKATA'!$K$3:$K$586,"=361")</f>
        <v>0</v>
      </c>
      <c r="I24" s="138">
        <f>SUMIFS('Plan rashoda za unos u SAP'!$I$3:$I$525,'Plan rashoda za unos u SAP'!$C$3:$C$525,"=43",'Plan rashoda za unos u SAP'!$M$3:$M$525,"=361")+SUMIFS('ANALITIKA EU PROJEKATA'!$G$3:$G$586,'ANALITIKA EU PROJEKATA'!$A$3:$A$586,"=43",'ANALITIKA EU PROJEKATA'!$K$3:$K$586,"=361")</f>
        <v>0</v>
      </c>
      <c r="J24" s="138">
        <f>SUMIFS('Plan rashoda za unos u SAP'!$I$3:$I$525,'Plan rashoda za unos u SAP'!$C$3:$C$525,"=51",'Plan rashoda za unos u SAP'!$M$3:$M$525,"=361")+SUMIFS('ANALITIKA EU PROJEKATA'!$G$3:$G$586,'ANALITIKA EU PROJEKATA'!$A$3:$A$586,"=51",'ANALITIKA EU PROJEKATA'!$K$3:$K$586,"=361")</f>
        <v>0</v>
      </c>
      <c r="K24" s="138">
        <f>SUMIFS('Plan rashoda za unos u SAP'!$I$3:$I$525,'Plan rashoda za unos u SAP'!$C$3:$C$525,"=52",'Plan rashoda za unos u SAP'!$M$3:$M$525,"=361")+SUMIFS('ANALITIKA EU PROJEKATA'!$G$3:$G$586,'ANALITIKA EU PROJEKATA'!$A$3:$A$586,"=52",'ANALITIKA EU PROJEKATA'!$K$3:$K$586,"=361")</f>
        <v>0</v>
      </c>
      <c r="L24" s="138">
        <f>SUMIFS('Plan rashoda za unos u SAP'!$I$3:$I$525,'Plan rashoda za unos u SAP'!$C$3:$C$525,"=552",'Plan rashoda za unos u SAP'!$M$3:$M$525,"=361")+SUMIFS('ANALITIKA EU PROJEKATA'!$G$3:$G$586,'ANALITIKA EU PROJEKATA'!$A$3:$A$586,"=552",'ANALITIKA EU PROJEKATA'!$K$3:$K$586,"=361")</f>
        <v>0</v>
      </c>
      <c r="M24" s="138">
        <f>SUMIFS('Plan rashoda za unos u SAP'!$I$3:$I$525,'Plan rashoda za unos u SAP'!$C$3:$C$525,"=559",'Plan rashoda za unos u SAP'!$M$3:$M$525,"=361")+SUMIFS('ANALITIKA EU PROJEKATA'!$G$3:$G$586,'ANALITIKA EU PROJEKATA'!$A$3:$A$586,"=559",'ANALITIKA EU PROJEKATA'!$K$3:$K$586,"=361")</f>
        <v>0</v>
      </c>
      <c r="N24" s="138">
        <f>SUMIFS('Plan rashoda za unos u SAP'!$I$3:$I$525,'Plan rashoda za unos u SAP'!$C$3:$C$525,"=561",'Plan rashoda za unos u SAP'!$M$3:$M$525,"=361")+SUMIFS('ANALITIKA EU PROJEKATA'!$G$3:$G$586,'ANALITIKA EU PROJEKATA'!$A$3:$A$586,"=561",'ANALITIKA EU PROJEKATA'!$K$3:$K$586,"=361")</f>
        <v>0</v>
      </c>
      <c r="O24" s="138">
        <f>SUMIFS('Plan rashoda za unos u SAP'!$I$3:$I$525,'Plan rashoda za unos u SAP'!$C$3:$C$525,"=563",'Plan rashoda za unos u SAP'!$M$3:$M$525,"=361")+SUMIFS('ANALITIKA EU PROJEKATA'!$G$3:$G$586,'ANALITIKA EU PROJEKATA'!$A$3:$A$586,"=563",'ANALITIKA EU PROJEKATA'!$K$3:$K$586,"=361")</f>
        <v>0</v>
      </c>
      <c r="P24" s="138">
        <f>SUMIFS('Plan rashoda za unos u SAP'!$I$3:$I$525,'Plan rashoda za unos u SAP'!$C$3:$C$525,"=573",'Plan rashoda za unos u SAP'!$M$3:$M$525,"=361")+SUMIFS('ANALITIKA EU PROJEKATA'!$G$3:$G$586,'ANALITIKA EU PROJEKATA'!$A$3:$A$586,"=573",'ANALITIKA EU PROJEKATA'!$K$3:$K$586,"=361")</f>
        <v>0</v>
      </c>
      <c r="Q24" s="138">
        <f>SUMIFS('Plan rashoda za unos u SAP'!$I$3:$I$525,'Plan rashoda za unos u SAP'!$C$3:$C$525,"=575",'Plan rashoda za unos u SAP'!$M$3:$M$525,"=361")+SUMIFS('ANALITIKA EU PROJEKATA'!$G$3:$G$586,'ANALITIKA EU PROJEKATA'!$A$3:$A$586,"=575",'ANALITIKA EU PROJEKATA'!$K$3:$K$586,"=361")</f>
        <v>0</v>
      </c>
      <c r="R24" s="138">
        <f>SUMIFS('Plan rashoda za unos u SAP'!$I$3:$I$525,'Plan rashoda za unos u SAP'!$C$3:$C$525,"=576",'Plan rashoda za unos u SAP'!$M$3:$M$525,"=361")+SUMIFS('ANALITIKA EU PROJEKATA'!$G$3:$G$586,'ANALITIKA EU PROJEKATA'!$A$3:$A$586,"=576",'ANALITIKA EU PROJEKATA'!$K$3:$K$586,"=361")</f>
        <v>0</v>
      </c>
      <c r="S24" s="138">
        <f>SUMIFS('Plan rashoda za unos u SAP'!$I$3:$I$525,'Plan rashoda za unos u SAP'!$C$3:$C$525,"=581",'Plan rashoda za unos u SAP'!$M$3:$M$525,"=361")+SUMIFS('ANALITIKA EU PROJEKATA'!$G$3:$G$586,'ANALITIKA EU PROJEKATA'!$A$3:$A$586,"=581",'ANALITIKA EU PROJEKATA'!$K$3:$K$586,"=361")</f>
        <v>0</v>
      </c>
      <c r="T24" s="138">
        <f>SUMIFS('Plan rashoda za unos u SAP'!$I$3:$I$525,'Plan rashoda za unos u SAP'!$C$3:$C$525,"=61",'Plan rashoda za unos u SAP'!$M$3:$M$525,"=361")+SUMIFS('ANALITIKA EU PROJEKATA'!$G$3:$G$586,'ANALITIKA EU PROJEKATA'!$A$3:$A$586,"=61",'ANALITIKA EU PROJEKATA'!$K$3:$K$586,"=361")</f>
        <v>0</v>
      </c>
      <c r="U24" s="138">
        <f>SUMIFS('Plan rashoda za unos u SAP'!$I$3:$I$525,'Plan rashoda za unos u SAP'!$C$3:$C$525,"=63",'Plan rashoda za unos u SAP'!$M$3:$M$525,"=361")+SUMIFS('ANALITIKA EU PROJEKATA'!$G$3:$G$586,'ANALITIKA EU PROJEKATA'!$A$3:$A$586,"=63",'ANALITIKA EU PROJEKATA'!$K$3:$K$586,"=361")</f>
        <v>0</v>
      </c>
      <c r="V24" s="138">
        <f>SUMIFS('Plan rashoda za unos u SAP'!$I$3:$I$525,'Plan rashoda za unos u SAP'!$C$3:$C$525,"=71",'Plan rashoda za unos u SAP'!$M$3:$M$525,"=361")+SUMIFS('ANALITIKA EU PROJEKATA'!$G$3:$G$586,'ANALITIKA EU PROJEKATA'!$A$3:$A$586,"=71",'ANALITIKA EU PROJEKATA'!$K$3:$K$586,"=361")</f>
        <v>0</v>
      </c>
      <c r="W24" s="138">
        <f>SUMIFS('Plan rashoda za unos u SAP'!$I$3:$I$525,'Plan rashoda za unos u SAP'!$C$3:$C$525,"=81",'Plan rashoda za unos u SAP'!$M$3:$M$525,"=361")+SUMIFS('ANALITIKA EU PROJEKATA'!$G$3:$G$586,'ANALITIKA EU PROJEKATA'!$A$3:$A$586,"=81",'ANALITIKA EU PROJEKATA'!$K$3:$K$586,"=361")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324</v>
      </c>
      <c r="D25" s="14">
        <f t="shared" si="0"/>
        <v>0</v>
      </c>
      <c r="E25" s="138">
        <f>SUMIFS('Plan rashoda za unos u SAP'!$I$3:$I$525,'Plan rashoda za unos u SAP'!$C$3:$C$525,"=11",'Plan rashoda za unos u SAP'!$M$3:$M$525,"=362")+SUMIFS('ANALITIKA EU PROJEKATA'!$G$3:$G$586,'ANALITIKA EU PROJEKATA'!$A$3:$A$586,"=11",'ANALITIKA EU PROJEKATA'!$K$3:$K$586,"=362")</f>
        <v>0</v>
      </c>
      <c r="F25" s="138">
        <f>SUMIFS('Plan rashoda za unos u SAP'!$I$3:$I$525,'Plan rashoda za unos u SAP'!$C$3:$C$525,"=12",'Plan rashoda za unos u SAP'!$M$3:$M$525,"=362")+SUMIFS('ANALITIKA EU PROJEKATA'!$G$3:$G$586,'ANALITIKA EU PROJEKATA'!$A$3:$A$586,"=12",'ANALITIKA EU PROJEKATA'!$K$3:$K$586,"=362")</f>
        <v>0</v>
      </c>
      <c r="G25" s="138">
        <f>SUMIFS('Plan rashoda za unos u SAP'!$I$3:$I$525,'Plan rashoda za unos u SAP'!$C$3:$C$525,"=31",'Plan rashoda za unos u SAP'!$M$3:$M$525,"=362")+SUMIFS('ANALITIKA EU PROJEKATA'!$G$3:$G$586,'ANALITIKA EU PROJEKATA'!$A$3:$A$586,"=31",'ANALITIKA EU PROJEKATA'!$K$3:$K$586,"=362")</f>
        <v>0</v>
      </c>
      <c r="H25" s="138">
        <f>SUMIFS('Plan rashoda za unos u SAP'!$I$3:$I$525,'Plan rashoda za unos u SAP'!$C$3:$C$525,"=41",'Plan rashoda za unos u SAP'!$M$3:$M$525,"=362")+SUMIFS('ANALITIKA EU PROJEKATA'!$G$3:$G$586,'ANALITIKA EU PROJEKATA'!$A$3:$A$586,"=41",'ANALITIKA EU PROJEKATA'!$K$3:$K$586,"=362")</f>
        <v>0</v>
      </c>
      <c r="I25" s="138">
        <f>SUMIFS('Plan rashoda za unos u SAP'!$I$3:$I$525,'Plan rashoda za unos u SAP'!$C$3:$C$525,"=43",'Plan rashoda za unos u SAP'!$M$3:$M$525,"=362")+SUMIFS('ANALITIKA EU PROJEKATA'!$G$3:$G$586,'ANALITIKA EU PROJEKATA'!$A$3:$A$586,"=43",'ANALITIKA EU PROJEKATA'!$K$3:$K$586,"=362")</f>
        <v>0</v>
      </c>
      <c r="J25" s="138">
        <f>SUMIFS('Plan rashoda za unos u SAP'!$I$3:$I$525,'Plan rashoda za unos u SAP'!$C$3:$C$525,"=51",'Plan rashoda za unos u SAP'!$M$3:$M$525,"=362")+SUMIFS('ANALITIKA EU PROJEKATA'!$G$3:$G$586,'ANALITIKA EU PROJEKATA'!$A$3:$A$586,"=51",'ANALITIKA EU PROJEKATA'!$K$3:$K$586,"=362")</f>
        <v>0</v>
      </c>
      <c r="K25" s="138">
        <f>SUMIFS('Plan rashoda za unos u SAP'!$I$3:$I$525,'Plan rashoda za unos u SAP'!$C$3:$C$525,"=52",'Plan rashoda za unos u SAP'!$M$3:$M$525,"=362")+SUMIFS('ANALITIKA EU PROJEKATA'!$G$3:$G$586,'ANALITIKA EU PROJEKATA'!$A$3:$A$586,"=52",'ANALITIKA EU PROJEKATA'!$K$3:$K$586,"=362")</f>
        <v>0</v>
      </c>
      <c r="L25" s="138">
        <f>SUMIFS('Plan rashoda za unos u SAP'!$I$3:$I$525,'Plan rashoda za unos u SAP'!$C$3:$C$525,"=552",'Plan rashoda za unos u SAP'!$M$3:$M$525,"=362")+SUMIFS('ANALITIKA EU PROJEKATA'!$G$3:$G$586,'ANALITIKA EU PROJEKATA'!$A$3:$A$586,"=552",'ANALITIKA EU PROJEKATA'!$K$3:$K$586,"=362")</f>
        <v>0</v>
      </c>
      <c r="M25" s="138">
        <f>SUMIFS('Plan rashoda za unos u SAP'!$I$3:$I$525,'Plan rashoda za unos u SAP'!$C$3:$C$525,"=559",'Plan rashoda za unos u SAP'!$M$3:$M$525,"=362")+SUMIFS('ANALITIKA EU PROJEKATA'!$G$3:$G$586,'ANALITIKA EU PROJEKATA'!$A$3:$A$586,"=559",'ANALITIKA EU PROJEKATA'!$K$3:$K$586,"=362")</f>
        <v>0</v>
      </c>
      <c r="N25" s="138">
        <f>SUMIFS('Plan rashoda za unos u SAP'!$I$3:$I$525,'Plan rashoda za unos u SAP'!$C$3:$C$525,"=561",'Plan rashoda za unos u SAP'!$M$3:$M$525,"=362")+SUMIFS('ANALITIKA EU PROJEKATA'!$G$3:$G$586,'ANALITIKA EU PROJEKATA'!$A$3:$A$586,"=561",'ANALITIKA EU PROJEKATA'!$K$3:$K$586,"=362")</f>
        <v>0</v>
      </c>
      <c r="O25" s="138">
        <f>SUMIFS('Plan rashoda za unos u SAP'!$I$3:$I$525,'Plan rashoda za unos u SAP'!$C$3:$C$525,"=563",'Plan rashoda za unos u SAP'!$M$3:$M$525,"=362")+SUMIFS('ANALITIKA EU PROJEKATA'!$G$3:$G$586,'ANALITIKA EU PROJEKATA'!$A$3:$A$586,"=563",'ANALITIKA EU PROJEKATA'!$K$3:$K$586,"=362")</f>
        <v>0</v>
      </c>
      <c r="P25" s="138">
        <f>SUMIFS('Plan rashoda za unos u SAP'!$I$3:$I$525,'Plan rashoda za unos u SAP'!$C$3:$C$525,"=573",'Plan rashoda za unos u SAP'!$M$3:$M$525,"=362")+SUMIFS('ANALITIKA EU PROJEKATA'!$G$3:$G$586,'ANALITIKA EU PROJEKATA'!$A$3:$A$586,"=573",'ANALITIKA EU PROJEKATA'!$K$3:$K$586,"=362")</f>
        <v>0</v>
      </c>
      <c r="Q25" s="138">
        <f>SUMIFS('Plan rashoda za unos u SAP'!$I$3:$I$525,'Plan rashoda za unos u SAP'!$C$3:$C$525,"=575",'Plan rashoda za unos u SAP'!$M$3:$M$525,"=362")+SUMIFS('ANALITIKA EU PROJEKATA'!$G$3:$G$586,'ANALITIKA EU PROJEKATA'!$A$3:$A$586,"=575",'ANALITIKA EU PROJEKATA'!$K$3:$K$586,"=362")</f>
        <v>0</v>
      </c>
      <c r="R25" s="138">
        <f>SUMIFS('Plan rashoda za unos u SAP'!$I$3:$I$525,'Plan rashoda za unos u SAP'!$C$3:$C$525,"=576",'Plan rashoda za unos u SAP'!$M$3:$M$525,"=362")+SUMIFS('ANALITIKA EU PROJEKATA'!$G$3:$G$586,'ANALITIKA EU PROJEKATA'!$A$3:$A$586,"=576",'ANALITIKA EU PROJEKATA'!$K$3:$K$586,"=362")</f>
        <v>0</v>
      </c>
      <c r="S25" s="138">
        <f>SUMIFS('Plan rashoda za unos u SAP'!$I$3:$I$525,'Plan rashoda za unos u SAP'!$C$3:$C$525,"=581",'Plan rashoda za unos u SAP'!$M$3:$M$525,"=362")+SUMIFS('ANALITIKA EU PROJEKATA'!$G$3:$G$586,'ANALITIKA EU PROJEKATA'!$A$3:$A$586,"=581",'ANALITIKA EU PROJEKATA'!$K$3:$K$586,"=362")</f>
        <v>0</v>
      </c>
      <c r="T25" s="138">
        <f>SUMIFS('Plan rashoda za unos u SAP'!$I$3:$I$525,'Plan rashoda za unos u SAP'!$C$3:$C$525,"=61",'Plan rashoda za unos u SAP'!$M$3:$M$525,"=362")+SUMIFS('ANALITIKA EU PROJEKATA'!$G$3:$G$586,'ANALITIKA EU PROJEKATA'!$A$3:$A$586,"=61",'ANALITIKA EU PROJEKATA'!$K$3:$K$586,"=362")</f>
        <v>0</v>
      </c>
      <c r="U25" s="138">
        <f>SUMIFS('Plan rashoda za unos u SAP'!$I$3:$I$525,'Plan rashoda za unos u SAP'!$C$3:$C$525,"=63",'Plan rashoda za unos u SAP'!$M$3:$M$525,"=362")+SUMIFS('ANALITIKA EU PROJEKATA'!$G$3:$G$586,'ANALITIKA EU PROJEKATA'!$A$3:$A$586,"=63",'ANALITIKA EU PROJEKATA'!$K$3:$K$586,"=362")</f>
        <v>0</v>
      </c>
      <c r="V25" s="138">
        <f>SUMIFS('Plan rashoda za unos u SAP'!$I$3:$I$525,'Plan rashoda za unos u SAP'!$C$3:$C$525,"=71",'Plan rashoda za unos u SAP'!$M$3:$M$525,"=362")+SUMIFS('ANALITIKA EU PROJEKATA'!$G$3:$G$586,'ANALITIKA EU PROJEKATA'!$A$3:$A$586,"=71",'ANALITIKA EU PROJEKATA'!$K$3:$K$586,"=362")</f>
        <v>0</v>
      </c>
      <c r="W25" s="138">
        <f>SUMIFS('Plan rashoda za unos u SAP'!$I$3:$I$525,'Plan rashoda za unos u SAP'!$C$3:$C$525,"=81",'Plan rashoda za unos u SAP'!$M$3:$M$525,"=362")+SUMIFS('ANALITIKA EU PROJEKATA'!$G$3:$G$586,'ANALITIKA EU PROJEKATA'!$A$3:$A$586,"=81",'ANALITIKA EU PROJEKATA'!$K$3:$K$586,"=362")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325</v>
      </c>
      <c r="D26" s="14">
        <f t="shared" si="0"/>
        <v>0</v>
      </c>
      <c r="E26" s="138">
        <f>SUMIFS('Plan rashoda za unos u SAP'!$I$3:$I$525,'Plan rashoda za unos u SAP'!$C$3:$C$525,"=11",'Plan rashoda za unos u SAP'!$M$3:$M$525,"=363")+SUMIFS('ANALITIKA EU PROJEKATA'!$G$3:$G$586,'ANALITIKA EU PROJEKATA'!$A$3:$A$586,"=11",'ANALITIKA EU PROJEKATA'!$K$3:$K$586,"=363")</f>
        <v>0</v>
      </c>
      <c r="F26" s="138">
        <f>SUMIFS('Plan rashoda za unos u SAP'!$I$3:$I$525,'Plan rashoda za unos u SAP'!$C$3:$C$525,"=12",'Plan rashoda za unos u SAP'!$M$3:$M$525,"=363")+SUMIFS('ANALITIKA EU PROJEKATA'!$G$3:$G$586,'ANALITIKA EU PROJEKATA'!$A$3:$A$586,"=12",'ANALITIKA EU PROJEKATA'!$K$3:$K$586,"=363")</f>
        <v>0</v>
      </c>
      <c r="G26" s="138">
        <f>SUMIFS('Plan rashoda za unos u SAP'!$I$3:$I$525,'Plan rashoda za unos u SAP'!$C$3:$C$525,"=31",'Plan rashoda za unos u SAP'!$M$3:$M$525,"=363")+SUMIFS('ANALITIKA EU PROJEKATA'!$G$3:$G$586,'ANALITIKA EU PROJEKATA'!$A$3:$A$586,"=31",'ANALITIKA EU PROJEKATA'!$K$3:$K$586,"=363")</f>
        <v>0</v>
      </c>
      <c r="H26" s="138">
        <f>SUMIFS('Plan rashoda za unos u SAP'!$I$3:$I$525,'Plan rashoda za unos u SAP'!$C$3:$C$525,"=41",'Plan rashoda za unos u SAP'!$M$3:$M$525,"=363")+SUMIFS('ANALITIKA EU PROJEKATA'!$G$3:$G$586,'ANALITIKA EU PROJEKATA'!$A$3:$A$586,"=41",'ANALITIKA EU PROJEKATA'!$K$3:$K$586,"=363")</f>
        <v>0</v>
      </c>
      <c r="I26" s="138">
        <f>SUMIFS('Plan rashoda za unos u SAP'!$I$3:$I$525,'Plan rashoda za unos u SAP'!$C$3:$C$525,"=43",'Plan rashoda za unos u SAP'!$M$3:$M$525,"=363")+SUMIFS('ANALITIKA EU PROJEKATA'!$G$3:$G$586,'ANALITIKA EU PROJEKATA'!$A$3:$A$586,"=43",'ANALITIKA EU PROJEKATA'!$K$3:$K$586,"=363")</f>
        <v>0</v>
      </c>
      <c r="J26" s="138">
        <f>SUMIFS('Plan rashoda za unos u SAP'!$I$3:$I$525,'Plan rashoda za unos u SAP'!$C$3:$C$525,"=51",'Plan rashoda za unos u SAP'!$M$3:$M$525,"=363")+SUMIFS('ANALITIKA EU PROJEKATA'!$G$3:$G$586,'ANALITIKA EU PROJEKATA'!$A$3:$A$586,"=51",'ANALITIKA EU PROJEKATA'!$K$3:$K$586,"=363")</f>
        <v>0</v>
      </c>
      <c r="K26" s="138">
        <f>SUMIFS('Plan rashoda za unos u SAP'!$I$3:$I$525,'Plan rashoda za unos u SAP'!$C$3:$C$525,"=52",'Plan rashoda za unos u SAP'!$M$3:$M$525,"=363")+SUMIFS('ANALITIKA EU PROJEKATA'!$G$3:$G$586,'ANALITIKA EU PROJEKATA'!$A$3:$A$586,"=52",'ANALITIKA EU PROJEKATA'!$K$3:$K$586,"=363")</f>
        <v>0</v>
      </c>
      <c r="L26" s="138">
        <f>SUMIFS('Plan rashoda za unos u SAP'!$I$3:$I$525,'Plan rashoda za unos u SAP'!$C$3:$C$525,"=552",'Plan rashoda za unos u SAP'!$M$3:$M$525,"=363")+SUMIFS('ANALITIKA EU PROJEKATA'!$G$3:$G$586,'ANALITIKA EU PROJEKATA'!$A$3:$A$586,"=552",'ANALITIKA EU PROJEKATA'!$K$3:$K$586,"=363")</f>
        <v>0</v>
      </c>
      <c r="M26" s="138">
        <f>SUMIFS('Plan rashoda za unos u SAP'!$I$3:$I$525,'Plan rashoda za unos u SAP'!$C$3:$C$525,"=559",'Plan rashoda za unos u SAP'!$M$3:$M$525,"=363")+SUMIFS('ANALITIKA EU PROJEKATA'!$G$3:$G$586,'ANALITIKA EU PROJEKATA'!$A$3:$A$586,"=559",'ANALITIKA EU PROJEKATA'!$K$3:$K$586,"=363")</f>
        <v>0</v>
      </c>
      <c r="N26" s="138">
        <f>SUMIFS('Plan rashoda za unos u SAP'!$I$3:$I$525,'Plan rashoda za unos u SAP'!$C$3:$C$525,"=561",'Plan rashoda za unos u SAP'!$M$3:$M$525,"=363")+SUMIFS('ANALITIKA EU PROJEKATA'!$G$3:$G$586,'ANALITIKA EU PROJEKATA'!$A$3:$A$586,"=561",'ANALITIKA EU PROJEKATA'!$K$3:$K$586,"=363")</f>
        <v>0</v>
      </c>
      <c r="O26" s="138">
        <f>SUMIFS('Plan rashoda za unos u SAP'!$I$3:$I$525,'Plan rashoda za unos u SAP'!$C$3:$C$525,"=563",'Plan rashoda za unos u SAP'!$M$3:$M$525,"=363")+SUMIFS('ANALITIKA EU PROJEKATA'!$G$3:$G$586,'ANALITIKA EU PROJEKATA'!$A$3:$A$586,"=563",'ANALITIKA EU PROJEKATA'!$K$3:$K$586,"=363")</f>
        <v>0</v>
      </c>
      <c r="P26" s="138">
        <f>SUMIFS('Plan rashoda za unos u SAP'!$I$3:$I$525,'Plan rashoda za unos u SAP'!$C$3:$C$525,"=573",'Plan rashoda za unos u SAP'!$M$3:$M$525,"=363")+SUMIFS('ANALITIKA EU PROJEKATA'!$G$3:$G$586,'ANALITIKA EU PROJEKATA'!$A$3:$A$586,"=573",'ANALITIKA EU PROJEKATA'!$K$3:$K$586,"=363")</f>
        <v>0</v>
      </c>
      <c r="Q26" s="138">
        <f>SUMIFS('Plan rashoda za unos u SAP'!$I$3:$I$525,'Plan rashoda za unos u SAP'!$C$3:$C$525,"=575",'Plan rashoda za unos u SAP'!$M$3:$M$525,"=363")+SUMIFS('ANALITIKA EU PROJEKATA'!$G$3:$G$586,'ANALITIKA EU PROJEKATA'!$A$3:$A$586,"=575",'ANALITIKA EU PROJEKATA'!$K$3:$K$586,"=363")</f>
        <v>0</v>
      </c>
      <c r="R26" s="138">
        <f>SUMIFS('Plan rashoda za unos u SAP'!$I$3:$I$525,'Plan rashoda za unos u SAP'!$C$3:$C$525,"=576",'Plan rashoda za unos u SAP'!$M$3:$M$525,"=363")+SUMIFS('ANALITIKA EU PROJEKATA'!$G$3:$G$586,'ANALITIKA EU PROJEKATA'!$A$3:$A$586,"=576",'ANALITIKA EU PROJEKATA'!$K$3:$K$586,"=363")</f>
        <v>0</v>
      </c>
      <c r="S26" s="138">
        <f>SUMIFS('Plan rashoda za unos u SAP'!$I$3:$I$525,'Plan rashoda za unos u SAP'!$C$3:$C$525,"=581",'Plan rashoda za unos u SAP'!$M$3:$M$525,"=363")+SUMIFS('ANALITIKA EU PROJEKATA'!$G$3:$G$586,'ANALITIKA EU PROJEKATA'!$A$3:$A$586,"=581",'ANALITIKA EU PROJEKATA'!$K$3:$K$586,"=363")</f>
        <v>0</v>
      </c>
      <c r="T26" s="138">
        <f>SUMIFS('Plan rashoda za unos u SAP'!$I$3:$I$525,'Plan rashoda za unos u SAP'!$C$3:$C$525,"=61",'Plan rashoda za unos u SAP'!$M$3:$M$525,"=363")+SUMIFS('ANALITIKA EU PROJEKATA'!$G$3:$G$586,'ANALITIKA EU PROJEKATA'!$A$3:$A$586,"=61",'ANALITIKA EU PROJEKATA'!$K$3:$K$586,"=363")</f>
        <v>0</v>
      </c>
      <c r="U26" s="138">
        <f>SUMIFS('Plan rashoda za unos u SAP'!$I$3:$I$525,'Plan rashoda za unos u SAP'!$C$3:$C$525,"=63",'Plan rashoda za unos u SAP'!$M$3:$M$525,"=363")+SUMIFS('ANALITIKA EU PROJEKATA'!$G$3:$G$586,'ANALITIKA EU PROJEKATA'!$A$3:$A$586,"=63",'ANALITIKA EU PROJEKATA'!$K$3:$K$586,"=363")</f>
        <v>0</v>
      </c>
      <c r="V26" s="138">
        <f>SUMIFS('Plan rashoda za unos u SAP'!$I$3:$I$525,'Plan rashoda za unos u SAP'!$C$3:$C$525,"=71",'Plan rashoda za unos u SAP'!$M$3:$M$525,"=363")+SUMIFS('ANALITIKA EU PROJEKATA'!$G$3:$G$586,'ANALITIKA EU PROJEKATA'!$A$3:$A$586,"=71",'ANALITIKA EU PROJEKATA'!$K$3:$K$586,"=363")</f>
        <v>0</v>
      </c>
      <c r="W26" s="138">
        <f>SUMIFS('Plan rashoda za unos u SAP'!$I$3:$I$525,'Plan rashoda za unos u SAP'!$C$3:$C$525,"=81",'Plan rashoda za unos u SAP'!$M$3:$M$525,"=363")+SUMIFS('ANALITIKA EU PROJEKATA'!$G$3:$G$586,'ANALITIKA EU PROJEKATA'!$A$3:$A$586,"=81",'ANALITIKA EU PROJEKATA'!$K$3:$K$586,"=363")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326</v>
      </c>
      <c r="D27" s="14">
        <f t="shared" si="0"/>
        <v>0</v>
      </c>
      <c r="E27" s="138">
        <f>SUMIFS('Plan rashoda za unos u SAP'!$I$3:$I$525,'Plan rashoda za unos u SAP'!$C$3:$C$525,"=11",'Plan rashoda za unos u SAP'!$M$3:$M$525,"=366")+SUMIFS('ANALITIKA EU PROJEKATA'!$G$3:$G$586,'ANALITIKA EU PROJEKATA'!$A$3:$A$586,"=11",'ANALITIKA EU PROJEKATA'!$K$3:$K$586,"=366")</f>
        <v>0</v>
      </c>
      <c r="F27" s="138">
        <f>SUMIFS('Plan rashoda za unos u SAP'!$I$3:$I$525,'Plan rashoda za unos u SAP'!$C$3:$C$525,"=12",'Plan rashoda za unos u SAP'!$M$3:$M$525,"=366")+SUMIFS('ANALITIKA EU PROJEKATA'!$G$3:$G$586,'ANALITIKA EU PROJEKATA'!$A$3:$A$586,"=12",'ANALITIKA EU PROJEKATA'!$K$3:$K$586,"=366")</f>
        <v>0</v>
      </c>
      <c r="G27" s="138">
        <f>SUMIFS('Plan rashoda za unos u SAP'!$I$3:$I$525,'Plan rashoda za unos u SAP'!$C$3:$C$525,"=31",'Plan rashoda za unos u SAP'!$M$3:$M$525,"=366")+SUMIFS('ANALITIKA EU PROJEKATA'!$G$3:$G$586,'ANALITIKA EU PROJEKATA'!$A$3:$A$586,"=31",'ANALITIKA EU PROJEKATA'!$K$3:$K$586,"=366")</f>
        <v>0</v>
      </c>
      <c r="H27" s="138">
        <f>SUMIFS('Plan rashoda za unos u SAP'!$I$3:$I$525,'Plan rashoda za unos u SAP'!$C$3:$C$525,"=41",'Plan rashoda za unos u SAP'!$M$3:$M$525,"=366")+SUMIFS('ANALITIKA EU PROJEKATA'!$G$3:$G$586,'ANALITIKA EU PROJEKATA'!$A$3:$A$586,"=41",'ANALITIKA EU PROJEKATA'!$K$3:$K$586,"=366")</f>
        <v>0</v>
      </c>
      <c r="I27" s="138">
        <f>SUMIFS('Plan rashoda za unos u SAP'!$I$3:$I$525,'Plan rashoda za unos u SAP'!$C$3:$C$525,"=43",'Plan rashoda za unos u SAP'!$M$3:$M$525,"=366")+SUMIFS('ANALITIKA EU PROJEKATA'!$G$3:$G$586,'ANALITIKA EU PROJEKATA'!$A$3:$A$586,"=43",'ANALITIKA EU PROJEKATA'!$K$3:$K$586,"=366")</f>
        <v>0</v>
      </c>
      <c r="J27" s="138">
        <f>SUMIFS('Plan rashoda za unos u SAP'!$I$3:$I$525,'Plan rashoda za unos u SAP'!$C$3:$C$525,"=51",'Plan rashoda za unos u SAP'!$M$3:$M$525,"=366")+SUMIFS('ANALITIKA EU PROJEKATA'!$G$3:$G$586,'ANALITIKA EU PROJEKATA'!$A$3:$A$586,"=51",'ANALITIKA EU PROJEKATA'!$K$3:$K$586,"=366")</f>
        <v>0</v>
      </c>
      <c r="K27" s="138">
        <f>SUMIFS('Plan rashoda za unos u SAP'!$I$3:$I$525,'Plan rashoda za unos u SAP'!$C$3:$C$525,"=52",'Plan rashoda za unos u SAP'!$M$3:$M$525,"=366")+SUMIFS('ANALITIKA EU PROJEKATA'!$G$3:$G$586,'ANALITIKA EU PROJEKATA'!$A$3:$A$586,"=52",'ANALITIKA EU PROJEKATA'!$K$3:$K$586,"=366")</f>
        <v>0</v>
      </c>
      <c r="L27" s="138">
        <f>SUMIFS('Plan rashoda za unos u SAP'!$I$3:$I$525,'Plan rashoda za unos u SAP'!$C$3:$C$525,"=552",'Plan rashoda za unos u SAP'!$M$3:$M$525,"=366")+SUMIFS('ANALITIKA EU PROJEKATA'!$G$3:$G$586,'ANALITIKA EU PROJEKATA'!$A$3:$A$586,"=552",'ANALITIKA EU PROJEKATA'!$K$3:$K$586,"=366")</f>
        <v>0</v>
      </c>
      <c r="M27" s="138">
        <f>SUMIFS('Plan rashoda za unos u SAP'!$I$3:$I$525,'Plan rashoda za unos u SAP'!$C$3:$C$525,"=559",'Plan rashoda za unos u SAP'!$M$3:$M$525,"=366")+SUMIFS('ANALITIKA EU PROJEKATA'!$G$3:$G$586,'ANALITIKA EU PROJEKATA'!$A$3:$A$586,"=559",'ANALITIKA EU PROJEKATA'!$K$3:$K$586,"=366")</f>
        <v>0</v>
      </c>
      <c r="N27" s="138">
        <f>SUMIFS('Plan rashoda za unos u SAP'!$I$3:$I$525,'Plan rashoda za unos u SAP'!$C$3:$C$525,"=561",'Plan rashoda za unos u SAP'!$M$3:$M$525,"=366")+SUMIFS('ANALITIKA EU PROJEKATA'!$G$3:$G$586,'ANALITIKA EU PROJEKATA'!$A$3:$A$586,"=561",'ANALITIKA EU PROJEKATA'!$K$3:$K$586,"=366")</f>
        <v>0</v>
      </c>
      <c r="O27" s="138">
        <f>SUMIFS('Plan rashoda za unos u SAP'!$I$3:$I$525,'Plan rashoda za unos u SAP'!$C$3:$C$525,"=563",'Plan rashoda za unos u SAP'!$M$3:$M$525,"=366")+SUMIFS('ANALITIKA EU PROJEKATA'!$G$3:$G$586,'ANALITIKA EU PROJEKATA'!$A$3:$A$586,"=563",'ANALITIKA EU PROJEKATA'!$K$3:$K$586,"=366")</f>
        <v>0</v>
      </c>
      <c r="P27" s="138">
        <f>SUMIFS('Plan rashoda za unos u SAP'!$I$3:$I$525,'Plan rashoda za unos u SAP'!$C$3:$C$525,"=573",'Plan rashoda za unos u SAP'!$M$3:$M$525,"=366")+SUMIFS('ANALITIKA EU PROJEKATA'!$G$3:$G$586,'ANALITIKA EU PROJEKATA'!$A$3:$A$586,"=573",'ANALITIKA EU PROJEKATA'!$K$3:$K$586,"=366")</f>
        <v>0</v>
      </c>
      <c r="Q27" s="138">
        <f>SUMIFS('Plan rashoda za unos u SAP'!$I$3:$I$525,'Plan rashoda za unos u SAP'!$C$3:$C$525,"=575",'Plan rashoda za unos u SAP'!$M$3:$M$525,"=366")+SUMIFS('ANALITIKA EU PROJEKATA'!$G$3:$G$586,'ANALITIKA EU PROJEKATA'!$A$3:$A$586,"=575",'ANALITIKA EU PROJEKATA'!$K$3:$K$586,"=366")</f>
        <v>0</v>
      </c>
      <c r="R27" s="138">
        <f>SUMIFS('Plan rashoda za unos u SAP'!$I$3:$I$525,'Plan rashoda za unos u SAP'!$C$3:$C$525,"=576",'Plan rashoda za unos u SAP'!$M$3:$M$525,"=366")+SUMIFS('ANALITIKA EU PROJEKATA'!$G$3:$G$586,'ANALITIKA EU PROJEKATA'!$A$3:$A$586,"=576",'ANALITIKA EU PROJEKATA'!$K$3:$K$586,"=366")</f>
        <v>0</v>
      </c>
      <c r="S27" s="138">
        <f>SUMIFS('Plan rashoda za unos u SAP'!$I$3:$I$525,'Plan rashoda za unos u SAP'!$C$3:$C$525,"=581",'Plan rashoda za unos u SAP'!$M$3:$M$525,"=366")+SUMIFS('ANALITIKA EU PROJEKATA'!$G$3:$G$586,'ANALITIKA EU PROJEKATA'!$A$3:$A$586,"=581",'ANALITIKA EU PROJEKATA'!$K$3:$K$586,"=366")</f>
        <v>0</v>
      </c>
      <c r="T27" s="138">
        <f>SUMIFS('Plan rashoda za unos u SAP'!$I$3:$I$525,'Plan rashoda za unos u SAP'!$C$3:$C$525,"=61",'Plan rashoda za unos u SAP'!$M$3:$M$525,"=366")+SUMIFS('ANALITIKA EU PROJEKATA'!$G$3:$G$586,'ANALITIKA EU PROJEKATA'!$A$3:$A$586,"=61",'ANALITIKA EU PROJEKATA'!$K$3:$K$586,"=366")</f>
        <v>0</v>
      </c>
      <c r="U27" s="138">
        <f>SUMIFS('Plan rashoda za unos u SAP'!$I$3:$I$525,'Plan rashoda za unos u SAP'!$C$3:$C$525,"=63",'Plan rashoda za unos u SAP'!$M$3:$M$525,"=366")+SUMIFS('ANALITIKA EU PROJEKATA'!$G$3:$G$586,'ANALITIKA EU PROJEKATA'!$A$3:$A$586,"=63",'ANALITIKA EU PROJEKATA'!$K$3:$K$586,"=366")</f>
        <v>0</v>
      </c>
      <c r="V27" s="138">
        <f>SUMIFS('Plan rashoda za unos u SAP'!$I$3:$I$525,'Plan rashoda za unos u SAP'!$C$3:$C$525,"=71",'Plan rashoda za unos u SAP'!$M$3:$M$525,"=366")+SUMIFS('ANALITIKA EU PROJEKATA'!$G$3:$G$586,'ANALITIKA EU PROJEKATA'!$A$3:$A$586,"=71",'ANALITIKA EU PROJEKATA'!$K$3:$K$586,"=366")</f>
        <v>0</v>
      </c>
      <c r="W27" s="138">
        <f>SUMIFS('Plan rashoda za unos u SAP'!$I$3:$I$525,'Plan rashoda za unos u SAP'!$C$3:$C$525,"=81",'Plan rashoda za unos u SAP'!$M$3:$M$525,"=366")+SUMIFS('ANALITIKA EU PROJEKATA'!$G$3:$G$586,'ANALITIKA EU PROJEKATA'!$A$3:$A$586,"=81",'ANALITIKA EU PROJEKATA'!$K$3:$K$586,"=366")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281</v>
      </c>
      <c r="D28" s="14">
        <f t="shared" si="0"/>
        <v>0</v>
      </c>
      <c r="E28" s="138">
        <f>SUMIFS('Plan rashoda za unos u SAP'!$I$3:$I$525,'Plan rashoda za unos u SAP'!$C$3:$C$525,"=11",'Plan rashoda za unos u SAP'!$M$3:$M$525,"=368")+SUMIFS('ANALITIKA EU PROJEKATA'!$G$3:$G$586,'ANALITIKA EU PROJEKATA'!$A$3:$A$586,"=11",'ANALITIKA EU PROJEKATA'!$K$3:$K$586,"=368")</f>
        <v>0</v>
      </c>
      <c r="F28" s="138">
        <f>SUMIFS('Plan rashoda za unos u SAP'!$I$3:$I$525,'Plan rashoda za unos u SAP'!$C$3:$C$525,"=12",'Plan rashoda za unos u SAP'!$M$3:$M$525,"=368")+SUMIFS('ANALITIKA EU PROJEKATA'!$G$3:$G$586,'ANALITIKA EU PROJEKATA'!$A$3:$A$586,"=12",'ANALITIKA EU PROJEKATA'!$K$3:$K$586,"=368")</f>
        <v>0</v>
      </c>
      <c r="G28" s="138">
        <f>SUMIFS('Plan rashoda za unos u SAP'!$I$3:$I$525,'Plan rashoda za unos u SAP'!$C$3:$C$525,"=31",'Plan rashoda za unos u SAP'!$M$3:$M$525,"=368")+SUMIFS('ANALITIKA EU PROJEKATA'!$G$3:$G$586,'ANALITIKA EU PROJEKATA'!$A$3:$A$586,"=31",'ANALITIKA EU PROJEKATA'!$K$3:$K$586,"=368")</f>
        <v>0</v>
      </c>
      <c r="H28" s="138">
        <f>SUMIFS('Plan rashoda za unos u SAP'!$I$3:$I$525,'Plan rashoda za unos u SAP'!$C$3:$C$525,"=41",'Plan rashoda za unos u SAP'!$M$3:$M$525,"=368")+SUMIFS('ANALITIKA EU PROJEKATA'!$G$3:$G$586,'ANALITIKA EU PROJEKATA'!$A$3:$A$586,"=41",'ANALITIKA EU PROJEKATA'!$K$3:$K$586,"=368")</f>
        <v>0</v>
      </c>
      <c r="I28" s="138">
        <f>SUMIFS('Plan rashoda za unos u SAP'!$I$3:$I$525,'Plan rashoda za unos u SAP'!$C$3:$C$525,"=43",'Plan rashoda za unos u SAP'!$M$3:$M$525,"=368")+SUMIFS('ANALITIKA EU PROJEKATA'!$G$3:$G$586,'ANALITIKA EU PROJEKATA'!$A$3:$A$586,"=43",'ANALITIKA EU PROJEKATA'!$K$3:$K$586,"=368")</f>
        <v>0</v>
      </c>
      <c r="J28" s="138">
        <f>SUMIFS('Plan rashoda za unos u SAP'!$I$3:$I$525,'Plan rashoda za unos u SAP'!$C$3:$C$525,"=51",'Plan rashoda za unos u SAP'!$M$3:$M$525,"=368")+SUMIFS('ANALITIKA EU PROJEKATA'!$G$3:$G$586,'ANALITIKA EU PROJEKATA'!$A$3:$A$586,"=51",'ANALITIKA EU PROJEKATA'!$K$3:$K$586,"=368")</f>
        <v>0</v>
      </c>
      <c r="K28" s="138">
        <f>SUMIFS('Plan rashoda za unos u SAP'!$I$3:$I$525,'Plan rashoda za unos u SAP'!$C$3:$C$525,"=52",'Plan rashoda za unos u SAP'!$M$3:$M$525,"=368")+SUMIFS('ANALITIKA EU PROJEKATA'!$G$3:$G$586,'ANALITIKA EU PROJEKATA'!$A$3:$A$586,"=52",'ANALITIKA EU PROJEKATA'!$K$3:$K$586,"=368")</f>
        <v>0</v>
      </c>
      <c r="L28" s="138">
        <f>SUMIFS('Plan rashoda za unos u SAP'!$I$3:$I$525,'Plan rashoda za unos u SAP'!$C$3:$C$525,"=552",'Plan rashoda za unos u SAP'!$M$3:$M$525,"=368")+SUMIFS('ANALITIKA EU PROJEKATA'!$G$3:$G$586,'ANALITIKA EU PROJEKATA'!$A$3:$A$586,"=552",'ANALITIKA EU PROJEKATA'!$K$3:$K$586,"=368")</f>
        <v>0</v>
      </c>
      <c r="M28" s="138">
        <f>SUMIFS('Plan rashoda za unos u SAP'!$I$3:$I$525,'Plan rashoda za unos u SAP'!$C$3:$C$525,"=559",'Plan rashoda za unos u SAP'!$M$3:$M$525,"=368")+SUMIFS('ANALITIKA EU PROJEKATA'!$G$3:$G$586,'ANALITIKA EU PROJEKATA'!$A$3:$A$586,"=559",'ANALITIKA EU PROJEKATA'!$K$3:$K$586,"=368")</f>
        <v>0</v>
      </c>
      <c r="N28" s="138">
        <f>SUMIFS('Plan rashoda za unos u SAP'!$I$3:$I$525,'Plan rashoda za unos u SAP'!$C$3:$C$525,"=561",'Plan rashoda za unos u SAP'!$M$3:$M$525,"=368")+SUMIFS('ANALITIKA EU PROJEKATA'!$G$3:$G$586,'ANALITIKA EU PROJEKATA'!$A$3:$A$586,"=561",'ANALITIKA EU PROJEKATA'!$K$3:$K$586,"=368")</f>
        <v>0</v>
      </c>
      <c r="O28" s="138">
        <f>SUMIFS('Plan rashoda za unos u SAP'!$I$3:$I$525,'Plan rashoda za unos u SAP'!$C$3:$C$525,"=563",'Plan rashoda za unos u SAP'!$M$3:$M$525,"=368")+SUMIFS('ANALITIKA EU PROJEKATA'!$G$3:$G$586,'ANALITIKA EU PROJEKATA'!$A$3:$A$586,"=563",'ANALITIKA EU PROJEKATA'!$K$3:$K$586,"=368")</f>
        <v>0</v>
      </c>
      <c r="P28" s="138">
        <f>SUMIFS('Plan rashoda za unos u SAP'!$I$3:$I$525,'Plan rashoda za unos u SAP'!$C$3:$C$525,"=573",'Plan rashoda za unos u SAP'!$M$3:$M$525,"=368")+SUMIFS('ANALITIKA EU PROJEKATA'!$G$3:$G$586,'ANALITIKA EU PROJEKATA'!$A$3:$A$586,"=573",'ANALITIKA EU PROJEKATA'!$K$3:$K$586,"=368")</f>
        <v>0</v>
      </c>
      <c r="Q28" s="138">
        <f>SUMIFS('Plan rashoda za unos u SAP'!$I$3:$I$525,'Plan rashoda za unos u SAP'!$C$3:$C$525,"=575",'Plan rashoda za unos u SAP'!$M$3:$M$525,"=368")+SUMIFS('ANALITIKA EU PROJEKATA'!$G$3:$G$586,'ANALITIKA EU PROJEKATA'!$A$3:$A$586,"=575",'ANALITIKA EU PROJEKATA'!$K$3:$K$586,"=368")</f>
        <v>0</v>
      </c>
      <c r="R28" s="138">
        <f>SUMIFS('Plan rashoda za unos u SAP'!$I$3:$I$525,'Plan rashoda za unos u SAP'!$C$3:$C$525,"=576",'Plan rashoda za unos u SAP'!$M$3:$M$525,"=368")+SUMIFS('ANALITIKA EU PROJEKATA'!$G$3:$G$586,'ANALITIKA EU PROJEKATA'!$A$3:$A$586,"=576",'ANALITIKA EU PROJEKATA'!$K$3:$K$586,"=368")</f>
        <v>0</v>
      </c>
      <c r="S28" s="138">
        <f>SUMIFS('Plan rashoda za unos u SAP'!$I$3:$I$525,'Plan rashoda za unos u SAP'!$C$3:$C$525,"=581",'Plan rashoda za unos u SAP'!$M$3:$M$525,"=368")+SUMIFS('ANALITIKA EU PROJEKATA'!$G$3:$G$586,'ANALITIKA EU PROJEKATA'!$A$3:$A$586,"=581",'ANALITIKA EU PROJEKATA'!$K$3:$K$586,"=368")</f>
        <v>0</v>
      </c>
      <c r="T28" s="138">
        <f>SUMIFS('Plan rashoda za unos u SAP'!$I$3:$I$525,'Plan rashoda za unos u SAP'!$C$3:$C$525,"=61",'Plan rashoda za unos u SAP'!$M$3:$M$525,"=368")+SUMIFS('ANALITIKA EU PROJEKATA'!$G$3:$G$586,'ANALITIKA EU PROJEKATA'!$A$3:$A$586,"=61",'ANALITIKA EU PROJEKATA'!$K$3:$K$586,"=368")</f>
        <v>0</v>
      </c>
      <c r="U28" s="138">
        <f>SUMIFS('Plan rashoda za unos u SAP'!$I$3:$I$525,'Plan rashoda za unos u SAP'!$C$3:$C$525,"=63",'Plan rashoda za unos u SAP'!$M$3:$M$525,"=368")+SUMIFS('ANALITIKA EU PROJEKATA'!$G$3:$G$586,'ANALITIKA EU PROJEKATA'!$A$3:$A$586,"=63",'ANALITIKA EU PROJEKATA'!$K$3:$K$586,"=368")</f>
        <v>0</v>
      </c>
      <c r="V28" s="138">
        <f>SUMIFS('Plan rashoda za unos u SAP'!$I$3:$I$525,'Plan rashoda za unos u SAP'!$C$3:$C$525,"=71",'Plan rashoda za unos u SAP'!$M$3:$M$525,"=368")+SUMIFS('ANALITIKA EU PROJEKATA'!$G$3:$G$586,'ANALITIKA EU PROJEKATA'!$A$3:$A$586,"=71",'ANALITIKA EU PROJEKATA'!$K$3:$K$586,"=368")</f>
        <v>0</v>
      </c>
      <c r="W28" s="138">
        <f>SUMIFS('Plan rashoda za unos u SAP'!$I$3:$I$525,'Plan rashoda za unos u SAP'!$C$3:$C$525,"=81",'Plan rashoda za unos u SAP'!$M$3:$M$525,"=368")+SUMIFS('ANALITIKA EU PROJEKATA'!$G$3:$G$586,'ANALITIKA EU PROJEKATA'!$A$3:$A$586,"=81",'ANALITIKA EU PROJEKATA'!$K$3:$K$586,"=368")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103435</v>
      </c>
      <c r="E29" s="138">
        <f>SUMIFS('Plan rashoda za unos u SAP'!$I$3:$I$525,'Plan rashoda za unos u SAP'!$C$3:$C$525,"=11",'Plan rashoda za unos u SAP'!$M$3:$M$525,"=369")+SUMIFS('ANALITIKA EU PROJEKATA'!$G$3:$G$586,'ANALITIKA EU PROJEKATA'!$A$3:$A$586,"=11",'ANALITIKA EU PROJEKATA'!$K$3:$K$586,"=369")</f>
        <v>0</v>
      </c>
      <c r="F29" s="138">
        <f>SUMIFS('Plan rashoda za unos u SAP'!$I$3:$I$525,'Plan rashoda za unos u SAP'!$C$3:$C$525,"=12",'Plan rashoda za unos u SAP'!$M$3:$M$525,"=369")+SUMIFS('ANALITIKA EU PROJEKATA'!$G$3:$G$586,'ANALITIKA EU PROJEKATA'!$A$3:$A$586,"=12",'ANALITIKA EU PROJEKATA'!$K$3:$K$586,"=369")</f>
        <v>15515</v>
      </c>
      <c r="G29" s="138">
        <f>SUMIFS('Plan rashoda za unos u SAP'!$I$3:$I$525,'Plan rashoda za unos u SAP'!$C$3:$C$525,"=31",'Plan rashoda za unos u SAP'!$M$3:$M$525,"=369")+SUMIFS('ANALITIKA EU PROJEKATA'!$G$3:$G$586,'ANALITIKA EU PROJEKATA'!$A$3:$A$586,"=31",'ANALITIKA EU PROJEKATA'!$K$3:$K$586,"=369")</f>
        <v>0</v>
      </c>
      <c r="H29" s="138">
        <f>SUMIFS('Plan rashoda za unos u SAP'!$I$3:$I$525,'Plan rashoda za unos u SAP'!$C$3:$C$525,"=41",'Plan rashoda za unos u SAP'!$M$3:$M$525,"=369")+SUMIFS('ANALITIKA EU PROJEKATA'!$G$3:$G$586,'ANALITIKA EU PROJEKATA'!$A$3:$A$586,"=41",'ANALITIKA EU PROJEKATA'!$K$3:$K$586,"=369")</f>
        <v>0</v>
      </c>
      <c r="I29" s="138">
        <f>SUMIFS('Plan rashoda za unos u SAP'!$I$3:$I$525,'Plan rashoda za unos u SAP'!$C$3:$C$525,"=43",'Plan rashoda za unos u SAP'!$M$3:$M$525,"=369")+SUMIFS('ANALITIKA EU PROJEKATA'!$G$3:$G$586,'ANALITIKA EU PROJEKATA'!$A$3:$A$586,"=43",'ANALITIKA EU PROJEKATA'!$K$3:$K$586,"=369")</f>
        <v>0</v>
      </c>
      <c r="J29" s="138">
        <f>SUMIFS('Plan rashoda za unos u SAP'!$I$3:$I$525,'Plan rashoda za unos u SAP'!$C$3:$C$525,"=51",'Plan rashoda za unos u SAP'!$M$3:$M$525,"=369")+SUMIFS('ANALITIKA EU PROJEKATA'!$G$3:$G$586,'ANALITIKA EU PROJEKATA'!$A$3:$A$586,"=51",'ANALITIKA EU PROJEKATA'!$K$3:$K$586,"=369")</f>
        <v>0</v>
      </c>
      <c r="K29" s="138">
        <f>SUMIFS('Plan rashoda za unos u SAP'!$I$3:$I$525,'Plan rashoda za unos u SAP'!$C$3:$C$525,"=52",'Plan rashoda za unos u SAP'!$M$3:$M$525,"=369")+SUMIFS('ANALITIKA EU PROJEKATA'!$G$3:$G$586,'ANALITIKA EU PROJEKATA'!$A$3:$A$586,"=52",'ANALITIKA EU PROJEKATA'!$K$3:$K$586,"=369")</f>
        <v>0</v>
      </c>
      <c r="L29" s="138">
        <f>SUMIFS('Plan rashoda za unos u SAP'!$I$3:$I$525,'Plan rashoda za unos u SAP'!$C$3:$C$525,"=552",'Plan rashoda za unos u SAP'!$M$3:$M$525,"=369")+SUMIFS('ANALITIKA EU PROJEKATA'!$G$3:$G$586,'ANALITIKA EU PROJEKATA'!$A$3:$A$586,"=552",'ANALITIKA EU PROJEKATA'!$K$3:$K$586,"=369")</f>
        <v>0</v>
      </c>
      <c r="M29" s="138">
        <f>SUMIFS('Plan rashoda za unos u SAP'!$I$3:$I$525,'Plan rashoda za unos u SAP'!$C$3:$C$525,"=559",'Plan rashoda za unos u SAP'!$M$3:$M$525,"=369")+SUMIFS('ANALITIKA EU PROJEKATA'!$G$3:$G$586,'ANALITIKA EU PROJEKATA'!$A$3:$A$586,"=559",'ANALITIKA EU PROJEKATA'!$K$3:$K$586,"=369")</f>
        <v>0</v>
      </c>
      <c r="N29" s="138">
        <f>SUMIFS('Plan rashoda za unos u SAP'!$I$3:$I$525,'Plan rashoda za unos u SAP'!$C$3:$C$525,"=561",'Plan rashoda za unos u SAP'!$M$3:$M$525,"=369")+SUMIFS('ANALITIKA EU PROJEKATA'!$G$3:$G$586,'ANALITIKA EU PROJEKATA'!$A$3:$A$586,"=561",'ANALITIKA EU PROJEKATA'!$K$3:$K$586,"=369")</f>
        <v>87920</v>
      </c>
      <c r="O29" s="138">
        <f>SUMIFS('Plan rashoda za unos u SAP'!$I$3:$I$525,'Plan rashoda za unos u SAP'!$C$3:$C$525,"=563",'Plan rashoda za unos u SAP'!$M$3:$M$525,"=369")+SUMIFS('ANALITIKA EU PROJEKATA'!$G$3:$G$586,'ANALITIKA EU PROJEKATA'!$A$3:$A$586,"=563",'ANALITIKA EU PROJEKATA'!$K$3:$K$586,"=369")</f>
        <v>0</v>
      </c>
      <c r="P29" s="138">
        <f>SUMIFS('Plan rashoda za unos u SAP'!$I$3:$I$525,'Plan rashoda za unos u SAP'!$C$3:$C$525,"=573",'Plan rashoda za unos u SAP'!$M$3:$M$525,"=369")+SUMIFS('ANALITIKA EU PROJEKATA'!$G$3:$G$586,'ANALITIKA EU PROJEKATA'!$A$3:$A$586,"=573",'ANALITIKA EU PROJEKATA'!$K$3:$K$586,"=369")</f>
        <v>0</v>
      </c>
      <c r="Q29" s="138">
        <f>SUMIFS('Plan rashoda za unos u SAP'!$I$3:$I$525,'Plan rashoda za unos u SAP'!$C$3:$C$525,"=575",'Plan rashoda za unos u SAP'!$M$3:$M$525,"=369")+SUMIFS('ANALITIKA EU PROJEKATA'!$G$3:$G$586,'ANALITIKA EU PROJEKATA'!$A$3:$A$586,"=575",'ANALITIKA EU PROJEKATA'!$K$3:$K$586,"=369")</f>
        <v>0</v>
      </c>
      <c r="R29" s="138">
        <f>SUMIFS('Plan rashoda za unos u SAP'!$I$3:$I$525,'Plan rashoda za unos u SAP'!$C$3:$C$525,"=576",'Plan rashoda za unos u SAP'!$M$3:$M$525,"=369")+SUMIFS('ANALITIKA EU PROJEKATA'!$G$3:$G$586,'ANALITIKA EU PROJEKATA'!$A$3:$A$586,"=576",'ANALITIKA EU PROJEKATA'!$K$3:$K$586,"=369")</f>
        <v>0</v>
      </c>
      <c r="S29" s="138">
        <f>SUMIFS('Plan rashoda za unos u SAP'!$I$3:$I$525,'Plan rashoda za unos u SAP'!$C$3:$C$525,"=581",'Plan rashoda za unos u SAP'!$M$3:$M$525,"=369")+SUMIFS('ANALITIKA EU PROJEKATA'!$G$3:$G$586,'ANALITIKA EU PROJEKATA'!$A$3:$A$586,"=581",'ANALITIKA EU PROJEKATA'!$K$3:$K$586,"=369")</f>
        <v>0</v>
      </c>
      <c r="T29" s="138">
        <f>SUMIFS('Plan rashoda za unos u SAP'!$I$3:$I$525,'Plan rashoda za unos u SAP'!$C$3:$C$525,"=61",'Plan rashoda za unos u SAP'!$M$3:$M$525,"=369")+SUMIFS('ANALITIKA EU PROJEKATA'!$G$3:$G$586,'ANALITIKA EU PROJEKATA'!$A$3:$A$586,"=61",'ANALITIKA EU PROJEKATA'!$K$3:$K$586,"=369")</f>
        <v>0</v>
      </c>
      <c r="U29" s="138">
        <f>SUMIFS('Plan rashoda za unos u SAP'!$I$3:$I$525,'Plan rashoda za unos u SAP'!$C$3:$C$525,"=63",'Plan rashoda za unos u SAP'!$M$3:$M$525,"=369")+SUMIFS('ANALITIKA EU PROJEKATA'!$G$3:$G$586,'ANALITIKA EU PROJEKATA'!$A$3:$A$586,"=63",'ANALITIKA EU PROJEKATA'!$K$3:$K$586,"=369")</f>
        <v>0</v>
      </c>
      <c r="V29" s="138">
        <f>SUMIFS('Plan rashoda za unos u SAP'!$I$3:$I$525,'Plan rashoda za unos u SAP'!$C$3:$C$525,"=71",'Plan rashoda za unos u SAP'!$M$3:$M$525,"=369")+SUMIFS('ANALITIKA EU PROJEKATA'!$G$3:$G$586,'ANALITIKA EU PROJEKATA'!$A$3:$A$586,"=71",'ANALITIKA EU PROJEKATA'!$K$3:$K$586,"=369")</f>
        <v>0</v>
      </c>
      <c r="W29" s="138">
        <f>SUMIFS('Plan rashoda za unos u SAP'!$I$3:$I$525,'Plan rashoda za unos u SAP'!$C$3:$C$525,"=81",'Plan rashoda za unos u SAP'!$M$3:$M$525,"=369")+SUMIFS('ANALITIKA EU PROJEKATA'!$G$3:$G$586,'ANALITIKA EU PROJEKATA'!$A$3:$A$586,"=81",'ANALITIKA EU PROJEKATA'!$K$3:$K$586,"=369")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327</v>
      </c>
      <c r="D30" s="4">
        <f t="shared" si="0"/>
        <v>4031293.585282159</v>
      </c>
      <c r="E30" s="4">
        <f t="shared" ref="E30:W30" si="8">SUM(E31:E32)</f>
        <v>780000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398653</v>
      </c>
      <c r="J30" s="4">
        <f t="shared" si="8"/>
        <v>0</v>
      </c>
      <c r="K30" s="4">
        <f t="shared" si="8"/>
        <v>2827636.585282159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25004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328</v>
      </c>
      <c r="D31" s="14">
        <f t="shared" si="0"/>
        <v>0</v>
      </c>
      <c r="E31" s="138">
        <f>SUMIFS('Plan rashoda za unos u SAP'!$I$3:$I$525,'Plan rashoda za unos u SAP'!$C$3:$C$525,"=11",'Plan rashoda za unos u SAP'!$M$3:$M$525,"=371")+SUMIFS('ANALITIKA EU PROJEKATA'!$G$3:$G$586,'ANALITIKA EU PROJEKATA'!$A$3:$A$586,"=11",'ANALITIKA EU PROJEKATA'!$K$3:$K$586,"=371")</f>
        <v>0</v>
      </c>
      <c r="F31" s="138">
        <f>SUMIFS('Plan rashoda za unos u SAP'!$I$3:$I$525,'Plan rashoda za unos u SAP'!$C$3:$C$525,"=12",'Plan rashoda za unos u SAP'!$M$3:$M$525,"=371")+SUMIFS('ANALITIKA EU PROJEKATA'!$G$3:$G$586,'ANALITIKA EU PROJEKATA'!$A$3:$A$586,"=12",'ANALITIKA EU PROJEKATA'!$K$3:$K$586,"=371")</f>
        <v>0</v>
      </c>
      <c r="G31" s="138">
        <f>SUMIFS('Plan rashoda za unos u SAP'!$I$3:$I$525,'Plan rashoda za unos u SAP'!$C$3:$C$525,"=31",'Plan rashoda za unos u SAP'!$M$3:$M$525,"=371")+SUMIFS('ANALITIKA EU PROJEKATA'!$G$3:$G$586,'ANALITIKA EU PROJEKATA'!$A$3:$A$586,"=31",'ANALITIKA EU PROJEKATA'!$K$3:$K$586,"=371")</f>
        <v>0</v>
      </c>
      <c r="H31" s="138">
        <f>SUMIFS('Plan rashoda za unos u SAP'!$I$3:$I$525,'Plan rashoda za unos u SAP'!$C$3:$C$525,"=41",'Plan rashoda za unos u SAP'!$M$3:$M$525,"=371")+SUMIFS('ANALITIKA EU PROJEKATA'!$G$3:$G$586,'ANALITIKA EU PROJEKATA'!$A$3:$A$586,"=41",'ANALITIKA EU PROJEKATA'!$K$3:$K$586,"=371")</f>
        <v>0</v>
      </c>
      <c r="I31" s="138">
        <f>SUMIFS('Plan rashoda za unos u SAP'!$I$3:$I$525,'Plan rashoda za unos u SAP'!$C$3:$C$525,"=43",'Plan rashoda za unos u SAP'!$M$3:$M$525,"=371")+SUMIFS('ANALITIKA EU PROJEKATA'!$G$3:$G$586,'ANALITIKA EU PROJEKATA'!$A$3:$A$586,"=43",'ANALITIKA EU PROJEKATA'!$K$3:$K$586,"=371")</f>
        <v>0</v>
      </c>
      <c r="J31" s="138">
        <f>SUMIFS('Plan rashoda za unos u SAP'!$I$3:$I$525,'Plan rashoda za unos u SAP'!$C$3:$C$525,"=51",'Plan rashoda za unos u SAP'!$M$3:$M$525,"=371")+SUMIFS('ANALITIKA EU PROJEKATA'!$G$3:$G$586,'ANALITIKA EU PROJEKATA'!$A$3:$A$586,"=51",'ANALITIKA EU PROJEKATA'!$K$3:$K$586,"=371")</f>
        <v>0</v>
      </c>
      <c r="K31" s="138">
        <f>SUMIFS('Plan rashoda za unos u SAP'!$I$3:$I$525,'Plan rashoda za unos u SAP'!$C$3:$C$525,"=52",'Plan rashoda za unos u SAP'!$M$3:$M$525,"=371")+SUMIFS('ANALITIKA EU PROJEKATA'!$G$3:$G$586,'ANALITIKA EU PROJEKATA'!$A$3:$A$586,"=52",'ANALITIKA EU PROJEKATA'!$K$3:$K$586,"=371")</f>
        <v>0</v>
      </c>
      <c r="L31" s="138">
        <f>SUMIFS('Plan rashoda za unos u SAP'!$I$3:$I$525,'Plan rashoda za unos u SAP'!$C$3:$C$525,"=552",'Plan rashoda za unos u SAP'!$M$3:$M$525,"=371")+SUMIFS('ANALITIKA EU PROJEKATA'!$G$3:$G$586,'ANALITIKA EU PROJEKATA'!$A$3:$A$586,"=552",'ANALITIKA EU PROJEKATA'!$K$3:$K$586,"=371")</f>
        <v>0</v>
      </c>
      <c r="M31" s="138">
        <f>SUMIFS('Plan rashoda za unos u SAP'!$I$3:$I$525,'Plan rashoda za unos u SAP'!$C$3:$C$525,"=559",'Plan rashoda za unos u SAP'!$M$3:$M$525,"=371")+SUMIFS('ANALITIKA EU PROJEKATA'!$G$3:$G$586,'ANALITIKA EU PROJEKATA'!$A$3:$A$586,"=559",'ANALITIKA EU PROJEKATA'!$K$3:$K$586,"=371")</f>
        <v>0</v>
      </c>
      <c r="N31" s="138">
        <f>SUMIFS('Plan rashoda za unos u SAP'!$I$3:$I$525,'Plan rashoda za unos u SAP'!$C$3:$C$525,"=561",'Plan rashoda za unos u SAP'!$M$3:$M$525,"=371")+SUMIFS('ANALITIKA EU PROJEKATA'!$G$3:$G$586,'ANALITIKA EU PROJEKATA'!$A$3:$A$586,"=561",'ANALITIKA EU PROJEKATA'!$K$3:$K$586,"=371")</f>
        <v>0</v>
      </c>
      <c r="O31" s="138">
        <f>SUMIFS('Plan rashoda za unos u SAP'!$I$3:$I$525,'Plan rashoda za unos u SAP'!$C$3:$C$525,"=563",'Plan rashoda za unos u SAP'!$M$3:$M$525,"=371")+SUMIFS('ANALITIKA EU PROJEKATA'!$G$3:$G$586,'ANALITIKA EU PROJEKATA'!$A$3:$A$586,"=563",'ANALITIKA EU PROJEKATA'!$K$3:$K$586,"=371")</f>
        <v>0</v>
      </c>
      <c r="P31" s="138">
        <f>SUMIFS('Plan rashoda za unos u SAP'!$I$3:$I$525,'Plan rashoda za unos u SAP'!$C$3:$C$525,"=573",'Plan rashoda za unos u SAP'!$M$3:$M$525,"=371")+SUMIFS('ANALITIKA EU PROJEKATA'!$G$3:$G$586,'ANALITIKA EU PROJEKATA'!$A$3:$A$586,"=573",'ANALITIKA EU PROJEKATA'!$K$3:$K$586,"=371")</f>
        <v>0</v>
      </c>
      <c r="Q31" s="138">
        <f>SUMIFS('Plan rashoda za unos u SAP'!$I$3:$I$525,'Plan rashoda za unos u SAP'!$C$3:$C$525,"=575",'Plan rashoda za unos u SAP'!$M$3:$M$525,"=371")+SUMIFS('ANALITIKA EU PROJEKATA'!$G$3:$G$586,'ANALITIKA EU PROJEKATA'!$A$3:$A$586,"=575",'ANALITIKA EU PROJEKATA'!$K$3:$K$586,"=371")</f>
        <v>0</v>
      </c>
      <c r="R31" s="138">
        <f>SUMIFS('Plan rashoda za unos u SAP'!$I$3:$I$525,'Plan rashoda za unos u SAP'!$C$3:$C$525,"=576",'Plan rashoda za unos u SAP'!$M$3:$M$525,"=371")+SUMIFS('ANALITIKA EU PROJEKATA'!$G$3:$G$586,'ANALITIKA EU PROJEKATA'!$A$3:$A$586,"=576",'ANALITIKA EU PROJEKATA'!$K$3:$K$586,"=371")</f>
        <v>0</v>
      </c>
      <c r="S31" s="138">
        <f>SUMIFS('Plan rashoda za unos u SAP'!$I$3:$I$525,'Plan rashoda za unos u SAP'!$C$3:$C$525,"=581",'Plan rashoda za unos u SAP'!$M$3:$M$525,"=371")+SUMIFS('ANALITIKA EU PROJEKATA'!$G$3:$G$586,'ANALITIKA EU PROJEKATA'!$A$3:$A$586,"=581",'ANALITIKA EU PROJEKATA'!$K$3:$K$586,"=371")</f>
        <v>0</v>
      </c>
      <c r="T31" s="138">
        <f>SUMIFS('Plan rashoda za unos u SAP'!$I$3:$I$525,'Plan rashoda za unos u SAP'!$C$3:$C$525,"=61",'Plan rashoda za unos u SAP'!$M$3:$M$525,"=371")+SUMIFS('ANALITIKA EU PROJEKATA'!$G$3:$G$586,'ANALITIKA EU PROJEKATA'!$A$3:$A$586,"=61",'ANALITIKA EU PROJEKATA'!$K$3:$K$586,"=371")</f>
        <v>0</v>
      </c>
      <c r="U31" s="138">
        <f>SUMIFS('Plan rashoda za unos u SAP'!$I$3:$I$525,'Plan rashoda za unos u SAP'!$C$3:$C$525,"=63",'Plan rashoda za unos u SAP'!$M$3:$M$525,"=371")+SUMIFS('ANALITIKA EU PROJEKATA'!$G$3:$G$586,'ANALITIKA EU PROJEKATA'!$A$3:$A$586,"=63",'ANALITIKA EU PROJEKATA'!$K$3:$K$586,"=371")</f>
        <v>0</v>
      </c>
      <c r="V31" s="138">
        <f>SUMIFS('Plan rashoda za unos u SAP'!$I$3:$I$525,'Plan rashoda za unos u SAP'!$C$3:$C$525,"=71",'Plan rashoda za unos u SAP'!$M$3:$M$525,"=371")+SUMIFS('ANALITIKA EU PROJEKATA'!$G$3:$G$586,'ANALITIKA EU PROJEKATA'!$A$3:$A$586,"=71",'ANALITIKA EU PROJEKATA'!$K$3:$K$586,"=371")</f>
        <v>0</v>
      </c>
      <c r="W31" s="138">
        <f>SUMIFS('Plan rashoda za unos u SAP'!$I$3:$I$525,'Plan rashoda za unos u SAP'!$C$3:$C$525,"=81",'Plan rashoda za unos u SAP'!$M$3:$M$525,"=371")+SUMIFS('ANALITIKA EU PROJEKATA'!$G$3:$G$586,'ANALITIKA EU PROJEKATA'!$A$3:$A$586,"=81",'ANALITIKA EU PROJEKATA'!$K$3:$K$586,"=371")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4031293.585282159</v>
      </c>
      <c r="E32" s="138">
        <f>SUMIFS('Plan rashoda za unos u SAP'!$I$3:$I$525,'Plan rashoda za unos u SAP'!$C$3:$C$525,"=11",'Plan rashoda za unos u SAP'!$M$3:$M$525,"=372")+SUMIFS('ANALITIKA EU PROJEKATA'!$G$3:$G$586,'ANALITIKA EU PROJEKATA'!$A$3:$A$586,"=11",'ANALITIKA EU PROJEKATA'!$K$3:$K$586,"=372")</f>
        <v>780000</v>
      </c>
      <c r="F32" s="138">
        <f>SUMIFS('Plan rashoda za unos u SAP'!$I$3:$I$525,'Plan rashoda za unos u SAP'!$C$3:$C$525,"=12",'Plan rashoda za unos u SAP'!$M$3:$M$525,"=372")+SUMIFS('ANALITIKA EU PROJEKATA'!$G$3:$G$586,'ANALITIKA EU PROJEKATA'!$A$3:$A$586,"=12",'ANALITIKA EU PROJEKATA'!$K$3:$K$586,"=372")</f>
        <v>0</v>
      </c>
      <c r="G32" s="138">
        <f>SUMIFS('Plan rashoda za unos u SAP'!$I$3:$I$525,'Plan rashoda za unos u SAP'!$C$3:$C$525,"=31",'Plan rashoda za unos u SAP'!$M$3:$M$525,"=372")+SUMIFS('ANALITIKA EU PROJEKATA'!$G$3:$G$586,'ANALITIKA EU PROJEKATA'!$A$3:$A$586,"=31",'ANALITIKA EU PROJEKATA'!$K$3:$K$586,"=372")</f>
        <v>0</v>
      </c>
      <c r="H32" s="138">
        <f>SUMIFS('Plan rashoda za unos u SAP'!$I$3:$I$525,'Plan rashoda za unos u SAP'!$C$3:$C$525,"=41",'Plan rashoda za unos u SAP'!$M$3:$M$525,"=372")+SUMIFS('ANALITIKA EU PROJEKATA'!$G$3:$G$586,'ANALITIKA EU PROJEKATA'!$A$3:$A$586,"=41",'ANALITIKA EU PROJEKATA'!$K$3:$K$586,"=372")</f>
        <v>0</v>
      </c>
      <c r="I32" s="138">
        <f>SUMIFS('Plan rashoda za unos u SAP'!$I$3:$I$525,'Plan rashoda za unos u SAP'!$C$3:$C$525,"=43",'Plan rashoda za unos u SAP'!$M$3:$M$525,"=372")+SUMIFS('ANALITIKA EU PROJEKATA'!$G$3:$G$586,'ANALITIKA EU PROJEKATA'!$A$3:$A$586,"=43",'ANALITIKA EU PROJEKATA'!$K$3:$K$586,"=372")</f>
        <v>398653</v>
      </c>
      <c r="J32" s="138">
        <f>SUMIFS('Plan rashoda za unos u SAP'!$I$3:$I$525,'Plan rashoda za unos u SAP'!$C$3:$C$525,"=51",'Plan rashoda za unos u SAP'!$M$3:$M$525,"=372")+SUMIFS('ANALITIKA EU PROJEKATA'!$G$3:$G$586,'ANALITIKA EU PROJEKATA'!$A$3:$A$586,"=51",'ANALITIKA EU PROJEKATA'!$K$3:$K$586,"=372")</f>
        <v>0</v>
      </c>
      <c r="K32" s="138">
        <f>SUMIFS('Plan rashoda za unos u SAP'!$I$3:$I$525,'Plan rashoda za unos u SAP'!$C$3:$C$525,"=52",'Plan rashoda za unos u SAP'!$M$3:$M$525,"=372")+SUMIFS('ANALITIKA EU PROJEKATA'!$G$3:$G$586,'ANALITIKA EU PROJEKATA'!$A$3:$A$586,"=52",'ANALITIKA EU PROJEKATA'!$K$3:$K$586,"=372")</f>
        <v>2827636.585282159</v>
      </c>
      <c r="L32" s="138">
        <f>SUMIFS('Plan rashoda za unos u SAP'!$I$3:$I$525,'Plan rashoda za unos u SAP'!$C$3:$C$525,"=552",'Plan rashoda za unos u SAP'!$M$3:$M$525,"=372")+SUMIFS('ANALITIKA EU PROJEKATA'!$G$3:$G$586,'ANALITIKA EU PROJEKATA'!$A$3:$A$586,"=552",'ANALITIKA EU PROJEKATA'!$K$3:$K$586,"=372")</f>
        <v>0</v>
      </c>
      <c r="M32" s="138">
        <f>SUMIFS('Plan rashoda za unos u SAP'!$I$3:$I$525,'Plan rashoda za unos u SAP'!$C$3:$C$525,"=559",'Plan rashoda za unos u SAP'!$M$3:$M$525,"=372")+SUMIFS('ANALITIKA EU PROJEKATA'!$G$3:$G$586,'ANALITIKA EU PROJEKATA'!$A$3:$A$586,"=559",'ANALITIKA EU PROJEKATA'!$K$3:$K$586,"=372")</f>
        <v>0</v>
      </c>
      <c r="N32" s="138">
        <f>SUMIFS('Plan rashoda za unos u SAP'!$I$3:$I$525,'Plan rashoda za unos u SAP'!$C$3:$C$525,"=561",'Plan rashoda za unos u SAP'!$M$3:$M$525,"=372")+SUMIFS('ANALITIKA EU PROJEKATA'!$G$3:$G$586,'ANALITIKA EU PROJEKATA'!$A$3:$A$586,"=561",'ANALITIKA EU PROJEKATA'!$K$3:$K$586,"=372")</f>
        <v>0</v>
      </c>
      <c r="O32" s="138">
        <f>SUMIFS('Plan rashoda za unos u SAP'!$I$3:$I$525,'Plan rashoda za unos u SAP'!$C$3:$C$525,"=563",'Plan rashoda za unos u SAP'!$M$3:$M$525,"=372")+SUMIFS('ANALITIKA EU PROJEKATA'!$G$3:$G$586,'ANALITIKA EU PROJEKATA'!$A$3:$A$586,"=563",'ANALITIKA EU PROJEKATA'!$K$3:$K$586,"=372")</f>
        <v>0</v>
      </c>
      <c r="P32" s="138">
        <f>SUMIFS('Plan rashoda za unos u SAP'!$I$3:$I$525,'Plan rashoda za unos u SAP'!$C$3:$C$525,"=573",'Plan rashoda za unos u SAP'!$M$3:$M$525,"=372")+SUMIFS('ANALITIKA EU PROJEKATA'!$G$3:$G$586,'ANALITIKA EU PROJEKATA'!$A$3:$A$586,"=573",'ANALITIKA EU PROJEKATA'!$K$3:$K$586,"=372")</f>
        <v>0</v>
      </c>
      <c r="Q32" s="138">
        <f>SUMIFS('Plan rashoda za unos u SAP'!$I$3:$I$525,'Plan rashoda za unos u SAP'!$C$3:$C$525,"=575",'Plan rashoda za unos u SAP'!$M$3:$M$525,"=372")+SUMIFS('ANALITIKA EU PROJEKATA'!$G$3:$G$586,'ANALITIKA EU PROJEKATA'!$A$3:$A$586,"=575",'ANALITIKA EU PROJEKATA'!$K$3:$K$586,"=372")</f>
        <v>0</v>
      </c>
      <c r="R32" s="138">
        <f>SUMIFS('Plan rashoda za unos u SAP'!$I$3:$I$525,'Plan rashoda za unos u SAP'!$C$3:$C$525,"=576",'Plan rashoda za unos u SAP'!$M$3:$M$525,"=372")+SUMIFS('ANALITIKA EU PROJEKATA'!$G$3:$G$586,'ANALITIKA EU PROJEKATA'!$A$3:$A$586,"=576",'ANALITIKA EU PROJEKATA'!$K$3:$K$586,"=372")</f>
        <v>0</v>
      </c>
      <c r="S32" s="138">
        <f>SUMIFS('Plan rashoda za unos u SAP'!$I$3:$I$525,'Plan rashoda za unos u SAP'!$C$3:$C$525,"=581",'Plan rashoda za unos u SAP'!$M$3:$M$525,"=372")+SUMIFS('ANALITIKA EU PROJEKATA'!$G$3:$G$586,'ANALITIKA EU PROJEKATA'!$A$3:$A$586,"=581",'ANALITIKA EU PROJEKATA'!$K$3:$K$586,"=372")</f>
        <v>0</v>
      </c>
      <c r="T32" s="138">
        <f>SUMIFS('Plan rashoda za unos u SAP'!$I$3:$I$525,'Plan rashoda za unos u SAP'!$C$3:$C$525,"=61",'Plan rashoda za unos u SAP'!$M$3:$M$525,"=372")+SUMIFS('ANALITIKA EU PROJEKATA'!$G$3:$G$586,'ANALITIKA EU PROJEKATA'!$A$3:$A$586,"=61",'ANALITIKA EU PROJEKATA'!$K$3:$K$586,"=372")</f>
        <v>25004</v>
      </c>
      <c r="U32" s="138">
        <f>SUMIFS('Plan rashoda za unos u SAP'!$I$3:$I$525,'Plan rashoda za unos u SAP'!$C$3:$C$525,"=63",'Plan rashoda za unos u SAP'!$M$3:$M$525,"=372")+SUMIFS('ANALITIKA EU PROJEKATA'!$G$3:$G$586,'ANALITIKA EU PROJEKATA'!$A$3:$A$586,"=63",'ANALITIKA EU PROJEKATA'!$K$3:$K$586,"=372")</f>
        <v>0</v>
      </c>
      <c r="V32" s="138">
        <f>SUMIFS('Plan rashoda za unos u SAP'!$I$3:$I$525,'Plan rashoda za unos u SAP'!$C$3:$C$525,"=71",'Plan rashoda za unos u SAP'!$M$3:$M$525,"=372")+SUMIFS('ANALITIKA EU PROJEKATA'!$G$3:$G$586,'ANALITIKA EU PROJEKATA'!$A$3:$A$586,"=71",'ANALITIKA EU PROJEKATA'!$K$3:$K$586,"=372")</f>
        <v>0</v>
      </c>
      <c r="W32" s="138">
        <f>SUMIFS('Plan rashoda za unos u SAP'!$I$3:$I$525,'Plan rashoda za unos u SAP'!$C$3:$C$525,"=81",'Plan rashoda za unos u SAP'!$M$3:$M$525,"=372")+SUMIFS('ANALITIKA EU PROJEKATA'!$G$3:$G$586,'ANALITIKA EU PROJEKATA'!$A$3:$A$586,"=81",'ANALITIKA EU PROJEKATA'!$K$3:$K$586,"=372")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6074949.7345760195</v>
      </c>
      <c r="E33" s="4">
        <f t="shared" ref="E33:W33" si="9">SUM(E34:E37)</f>
        <v>6000000</v>
      </c>
      <c r="F33" s="4">
        <f t="shared" si="9"/>
        <v>0</v>
      </c>
      <c r="G33" s="4">
        <f t="shared" si="9"/>
        <v>50000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24949.734576019044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6074949.7345760195</v>
      </c>
      <c r="E34" s="138">
        <f>SUMIFS('Plan rashoda za unos u SAP'!$I$3:$I$525,'Plan rashoda za unos u SAP'!$C$3:$C$525,"=11",'Plan rashoda za unos u SAP'!$M$3:$M$525,"=381")+SUMIFS('ANALITIKA EU PROJEKATA'!$G$3:$G$586,'ANALITIKA EU PROJEKATA'!$A$3:$A$586,"=11",'ANALITIKA EU PROJEKATA'!$K$3:$K$586,"=381")</f>
        <v>6000000</v>
      </c>
      <c r="F34" s="138">
        <f>SUMIFS('Plan rashoda za unos u SAP'!$I$3:$I$525,'Plan rashoda za unos u SAP'!$C$3:$C$525,"=12",'Plan rashoda za unos u SAP'!$M$3:$M$525,"=381")+SUMIFS('ANALITIKA EU PROJEKATA'!$G$3:$G$586,'ANALITIKA EU PROJEKATA'!$A$3:$A$586,"=12",'ANALITIKA EU PROJEKATA'!$K$3:$K$586,"=381")</f>
        <v>0</v>
      </c>
      <c r="G34" s="138">
        <f>SUMIFS('Plan rashoda za unos u SAP'!$I$3:$I$525,'Plan rashoda za unos u SAP'!$C$3:$C$525,"=31",'Plan rashoda za unos u SAP'!$M$3:$M$525,"=381")+SUMIFS('ANALITIKA EU PROJEKATA'!$G$3:$G$586,'ANALITIKA EU PROJEKATA'!$A$3:$A$586,"=31",'ANALITIKA EU PROJEKATA'!$K$3:$K$586,"=381")</f>
        <v>50000</v>
      </c>
      <c r="H34" s="138">
        <f>SUMIFS('Plan rashoda za unos u SAP'!$I$3:$I$525,'Plan rashoda za unos u SAP'!$C$3:$C$525,"=41",'Plan rashoda za unos u SAP'!$M$3:$M$525,"=381")+SUMIFS('ANALITIKA EU PROJEKATA'!$G$3:$G$586,'ANALITIKA EU PROJEKATA'!$A$3:$A$586,"=41",'ANALITIKA EU PROJEKATA'!$K$3:$K$586,"=381")</f>
        <v>0</v>
      </c>
      <c r="I34" s="138">
        <f>SUMIFS('Plan rashoda za unos u SAP'!$I$3:$I$525,'Plan rashoda za unos u SAP'!$C$3:$C$525,"=43",'Plan rashoda za unos u SAP'!$M$3:$M$525,"=381")+SUMIFS('ANALITIKA EU PROJEKATA'!$G$3:$G$586,'ANALITIKA EU PROJEKATA'!$A$3:$A$586,"=43",'ANALITIKA EU PROJEKATA'!$K$3:$K$586,"=381")</f>
        <v>0</v>
      </c>
      <c r="J34" s="138">
        <f>SUMIFS('Plan rashoda za unos u SAP'!$I$3:$I$525,'Plan rashoda za unos u SAP'!$C$3:$C$525,"=51",'Plan rashoda za unos u SAP'!$M$3:$M$525,"=381")+SUMIFS('ANALITIKA EU PROJEKATA'!$G$3:$G$586,'ANALITIKA EU PROJEKATA'!$A$3:$A$586,"=51",'ANALITIKA EU PROJEKATA'!$K$3:$K$586,"=381")</f>
        <v>0</v>
      </c>
      <c r="K34" s="138">
        <f>SUMIFS('Plan rashoda za unos u SAP'!$I$3:$I$525,'Plan rashoda za unos u SAP'!$C$3:$C$525,"=52",'Plan rashoda za unos u SAP'!$M$3:$M$525,"=381")+SUMIFS('ANALITIKA EU PROJEKATA'!$G$3:$G$586,'ANALITIKA EU PROJEKATA'!$A$3:$A$586,"=52",'ANALITIKA EU PROJEKATA'!$K$3:$K$586,"=381")</f>
        <v>24949.734576019044</v>
      </c>
      <c r="L34" s="138">
        <f>SUMIFS('Plan rashoda za unos u SAP'!$I$3:$I$525,'Plan rashoda za unos u SAP'!$C$3:$C$525,"=552",'Plan rashoda za unos u SAP'!$M$3:$M$525,"=381")+SUMIFS('ANALITIKA EU PROJEKATA'!$G$3:$G$586,'ANALITIKA EU PROJEKATA'!$A$3:$A$586,"=552",'ANALITIKA EU PROJEKATA'!$K$3:$K$586,"=381")</f>
        <v>0</v>
      </c>
      <c r="M34" s="138">
        <f>SUMIFS('Plan rashoda za unos u SAP'!$I$3:$I$525,'Plan rashoda za unos u SAP'!$C$3:$C$525,"=559",'Plan rashoda za unos u SAP'!$M$3:$M$525,"=381")+SUMIFS('ANALITIKA EU PROJEKATA'!$G$3:$G$586,'ANALITIKA EU PROJEKATA'!$A$3:$A$586,"=559",'ANALITIKA EU PROJEKATA'!$K$3:$K$586,"=381")</f>
        <v>0</v>
      </c>
      <c r="N34" s="138">
        <f>SUMIFS('Plan rashoda za unos u SAP'!$I$3:$I$525,'Plan rashoda za unos u SAP'!$C$3:$C$525,"=561",'Plan rashoda za unos u SAP'!$M$3:$M$525,"=381")+SUMIFS('ANALITIKA EU PROJEKATA'!$G$3:$G$586,'ANALITIKA EU PROJEKATA'!$A$3:$A$586,"=561",'ANALITIKA EU PROJEKATA'!$K$3:$K$586,"=381")</f>
        <v>0</v>
      </c>
      <c r="O34" s="138">
        <f>SUMIFS('Plan rashoda za unos u SAP'!$I$3:$I$525,'Plan rashoda za unos u SAP'!$C$3:$C$525,"=563",'Plan rashoda za unos u SAP'!$M$3:$M$525,"=381")+SUMIFS('ANALITIKA EU PROJEKATA'!$G$3:$G$586,'ANALITIKA EU PROJEKATA'!$A$3:$A$586,"=563",'ANALITIKA EU PROJEKATA'!$K$3:$K$586,"=381")</f>
        <v>0</v>
      </c>
      <c r="P34" s="138">
        <f>SUMIFS('Plan rashoda za unos u SAP'!$I$3:$I$525,'Plan rashoda za unos u SAP'!$C$3:$C$525,"=573",'Plan rashoda za unos u SAP'!$M$3:$M$525,"=381")+SUMIFS('ANALITIKA EU PROJEKATA'!$G$3:$G$586,'ANALITIKA EU PROJEKATA'!$A$3:$A$586,"=573",'ANALITIKA EU PROJEKATA'!$K$3:$K$586,"=381")</f>
        <v>0</v>
      </c>
      <c r="Q34" s="138">
        <f>SUMIFS('Plan rashoda za unos u SAP'!$I$3:$I$525,'Plan rashoda za unos u SAP'!$C$3:$C$525,"=575",'Plan rashoda za unos u SAP'!$M$3:$M$525,"=381")+SUMIFS('ANALITIKA EU PROJEKATA'!$G$3:$G$586,'ANALITIKA EU PROJEKATA'!$A$3:$A$586,"=575",'ANALITIKA EU PROJEKATA'!$K$3:$K$586,"=381")</f>
        <v>0</v>
      </c>
      <c r="R34" s="138">
        <f>SUMIFS('Plan rashoda za unos u SAP'!$I$3:$I$525,'Plan rashoda za unos u SAP'!$C$3:$C$525,"=576",'Plan rashoda za unos u SAP'!$M$3:$M$525,"=381")+SUMIFS('ANALITIKA EU PROJEKATA'!$G$3:$G$586,'ANALITIKA EU PROJEKATA'!$A$3:$A$586,"=576",'ANALITIKA EU PROJEKATA'!$K$3:$K$586,"=381")</f>
        <v>0</v>
      </c>
      <c r="S34" s="138">
        <f>SUMIFS('Plan rashoda za unos u SAP'!$I$3:$I$525,'Plan rashoda za unos u SAP'!$C$3:$C$525,"=581",'Plan rashoda za unos u SAP'!$M$3:$M$525,"=381")+SUMIFS('ANALITIKA EU PROJEKATA'!$G$3:$G$586,'ANALITIKA EU PROJEKATA'!$A$3:$A$586,"=581",'ANALITIKA EU PROJEKATA'!$K$3:$K$586,"=381")</f>
        <v>0</v>
      </c>
      <c r="T34" s="138">
        <f>SUMIFS('Plan rashoda za unos u SAP'!$I$3:$I$525,'Plan rashoda za unos u SAP'!$C$3:$C$525,"=61",'Plan rashoda za unos u SAP'!$M$3:$M$525,"=381")+SUMIFS('ANALITIKA EU PROJEKATA'!$G$3:$G$586,'ANALITIKA EU PROJEKATA'!$A$3:$A$586,"=61",'ANALITIKA EU PROJEKATA'!$K$3:$K$586,"=381")</f>
        <v>0</v>
      </c>
      <c r="U34" s="138">
        <f>SUMIFS('Plan rashoda za unos u SAP'!$I$3:$I$525,'Plan rashoda za unos u SAP'!$C$3:$C$525,"=63",'Plan rashoda za unos u SAP'!$M$3:$M$525,"=381")+SUMIFS('ANALITIKA EU PROJEKATA'!$G$3:$G$586,'ANALITIKA EU PROJEKATA'!$A$3:$A$586,"=63",'ANALITIKA EU PROJEKATA'!$K$3:$K$586,"=381")</f>
        <v>0</v>
      </c>
      <c r="V34" s="138">
        <f>SUMIFS('Plan rashoda za unos u SAP'!$I$3:$I$525,'Plan rashoda za unos u SAP'!$C$3:$C$525,"=71",'Plan rashoda za unos u SAP'!$M$3:$M$525,"=381")+SUMIFS('ANALITIKA EU PROJEKATA'!$G$3:$G$586,'ANALITIKA EU PROJEKATA'!$A$3:$A$586,"=71",'ANALITIKA EU PROJEKATA'!$K$3:$K$586,"=381")</f>
        <v>0</v>
      </c>
      <c r="W34" s="138">
        <f>SUMIFS('Plan rashoda za unos u SAP'!$I$3:$I$525,'Plan rashoda za unos u SAP'!$C$3:$C$525,"=81",'Plan rashoda za unos u SAP'!$M$3:$M$525,"=381")+SUMIFS('ANALITIKA EU PROJEKATA'!$G$3:$G$586,'ANALITIKA EU PROJEKATA'!$A$3:$A$586,"=81",'ANALITIKA EU PROJEKATA'!$K$3:$K$586,"=381")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329</v>
      </c>
      <c r="D35" s="14">
        <f t="shared" ref="D35:D66" si="10">SUM(E35:W35)</f>
        <v>0</v>
      </c>
      <c r="E35" s="138">
        <f>SUMIFS('Plan rashoda za unos u SAP'!$I$3:$I$525,'Plan rashoda za unos u SAP'!$C$3:$C$525,"=11",'Plan rashoda za unos u SAP'!$M$3:$M$525,"=382")+SUMIFS('ANALITIKA EU PROJEKATA'!$G$3:$G$586,'ANALITIKA EU PROJEKATA'!$A$3:$A$586,"=11",'ANALITIKA EU PROJEKATA'!$K$3:$K$586,"=382")</f>
        <v>0</v>
      </c>
      <c r="F35" s="138">
        <f>SUMIFS('Plan rashoda za unos u SAP'!$I$3:$I$525,'Plan rashoda za unos u SAP'!$C$3:$C$525,"=12",'Plan rashoda za unos u SAP'!$M$3:$M$525,"=382")+SUMIFS('ANALITIKA EU PROJEKATA'!$G$3:$G$586,'ANALITIKA EU PROJEKATA'!$A$3:$A$586,"=12",'ANALITIKA EU PROJEKATA'!$K$3:$K$586,"=382")</f>
        <v>0</v>
      </c>
      <c r="G35" s="138">
        <f>SUMIFS('Plan rashoda za unos u SAP'!$I$3:$I$525,'Plan rashoda za unos u SAP'!$C$3:$C$525,"=31",'Plan rashoda za unos u SAP'!$M$3:$M$525,"=382")+SUMIFS('ANALITIKA EU PROJEKATA'!$G$3:$G$586,'ANALITIKA EU PROJEKATA'!$A$3:$A$586,"=31",'ANALITIKA EU PROJEKATA'!$K$3:$K$586,"=382")</f>
        <v>0</v>
      </c>
      <c r="H35" s="138">
        <f>SUMIFS('Plan rashoda za unos u SAP'!$I$3:$I$525,'Plan rashoda za unos u SAP'!$C$3:$C$525,"=41",'Plan rashoda za unos u SAP'!$M$3:$M$525,"=382")+SUMIFS('ANALITIKA EU PROJEKATA'!$G$3:$G$586,'ANALITIKA EU PROJEKATA'!$A$3:$A$586,"=41",'ANALITIKA EU PROJEKATA'!$K$3:$K$586,"=382")</f>
        <v>0</v>
      </c>
      <c r="I35" s="138">
        <f>SUMIFS('Plan rashoda za unos u SAP'!$I$3:$I$525,'Plan rashoda za unos u SAP'!$C$3:$C$525,"=43",'Plan rashoda za unos u SAP'!$M$3:$M$525,"=382")+SUMIFS('ANALITIKA EU PROJEKATA'!$G$3:$G$586,'ANALITIKA EU PROJEKATA'!$A$3:$A$586,"=43",'ANALITIKA EU PROJEKATA'!$K$3:$K$586,"=382")</f>
        <v>0</v>
      </c>
      <c r="J35" s="138">
        <f>SUMIFS('Plan rashoda za unos u SAP'!$I$3:$I$525,'Plan rashoda za unos u SAP'!$C$3:$C$525,"=51",'Plan rashoda za unos u SAP'!$M$3:$M$525,"=382")+SUMIFS('ANALITIKA EU PROJEKATA'!$G$3:$G$586,'ANALITIKA EU PROJEKATA'!$A$3:$A$586,"=51",'ANALITIKA EU PROJEKATA'!$K$3:$K$586,"=382")</f>
        <v>0</v>
      </c>
      <c r="K35" s="138">
        <f>SUMIFS('Plan rashoda za unos u SAP'!$I$3:$I$525,'Plan rashoda za unos u SAP'!$C$3:$C$525,"=52",'Plan rashoda za unos u SAP'!$M$3:$M$525,"=382")+SUMIFS('ANALITIKA EU PROJEKATA'!$G$3:$G$586,'ANALITIKA EU PROJEKATA'!$A$3:$A$586,"=52",'ANALITIKA EU PROJEKATA'!$K$3:$K$586,"=382")</f>
        <v>0</v>
      </c>
      <c r="L35" s="138">
        <f>SUMIFS('Plan rashoda za unos u SAP'!$I$3:$I$525,'Plan rashoda za unos u SAP'!$C$3:$C$525,"=552",'Plan rashoda za unos u SAP'!$M$3:$M$525,"=382")+SUMIFS('ANALITIKA EU PROJEKATA'!$G$3:$G$586,'ANALITIKA EU PROJEKATA'!$A$3:$A$586,"=552",'ANALITIKA EU PROJEKATA'!$K$3:$K$586,"=382")</f>
        <v>0</v>
      </c>
      <c r="M35" s="138">
        <f>SUMIFS('Plan rashoda za unos u SAP'!$I$3:$I$525,'Plan rashoda za unos u SAP'!$C$3:$C$525,"=559",'Plan rashoda za unos u SAP'!$M$3:$M$525,"=382")+SUMIFS('ANALITIKA EU PROJEKATA'!$G$3:$G$586,'ANALITIKA EU PROJEKATA'!$A$3:$A$586,"=559",'ANALITIKA EU PROJEKATA'!$K$3:$K$586,"=382")</f>
        <v>0</v>
      </c>
      <c r="N35" s="138">
        <f>SUMIFS('Plan rashoda za unos u SAP'!$I$3:$I$525,'Plan rashoda za unos u SAP'!$C$3:$C$525,"=561",'Plan rashoda za unos u SAP'!$M$3:$M$525,"=382")+SUMIFS('ANALITIKA EU PROJEKATA'!$G$3:$G$586,'ANALITIKA EU PROJEKATA'!$A$3:$A$586,"=561",'ANALITIKA EU PROJEKATA'!$K$3:$K$586,"=382")</f>
        <v>0</v>
      </c>
      <c r="O35" s="138">
        <f>SUMIFS('Plan rashoda za unos u SAP'!$I$3:$I$525,'Plan rashoda za unos u SAP'!$C$3:$C$525,"=563",'Plan rashoda za unos u SAP'!$M$3:$M$525,"=382")+SUMIFS('ANALITIKA EU PROJEKATA'!$G$3:$G$586,'ANALITIKA EU PROJEKATA'!$A$3:$A$586,"=563",'ANALITIKA EU PROJEKATA'!$K$3:$K$586,"=382")</f>
        <v>0</v>
      </c>
      <c r="P35" s="138">
        <f>SUMIFS('Plan rashoda za unos u SAP'!$I$3:$I$525,'Plan rashoda za unos u SAP'!$C$3:$C$525,"=573",'Plan rashoda za unos u SAP'!$M$3:$M$525,"=382")+SUMIFS('ANALITIKA EU PROJEKATA'!$G$3:$G$586,'ANALITIKA EU PROJEKATA'!$A$3:$A$586,"=573",'ANALITIKA EU PROJEKATA'!$K$3:$K$586,"=382")</f>
        <v>0</v>
      </c>
      <c r="Q35" s="138">
        <f>SUMIFS('Plan rashoda za unos u SAP'!$I$3:$I$525,'Plan rashoda za unos u SAP'!$C$3:$C$525,"=575",'Plan rashoda za unos u SAP'!$M$3:$M$525,"=382")+SUMIFS('ANALITIKA EU PROJEKATA'!$G$3:$G$586,'ANALITIKA EU PROJEKATA'!$A$3:$A$586,"=575",'ANALITIKA EU PROJEKATA'!$K$3:$K$586,"=382")</f>
        <v>0</v>
      </c>
      <c r="R35" s="138">
        <f>SUMIFS('Plan rashoda za unos u SAP'!$I$3:$I$525,'Plan rashoda za unos u SAP'!$C$3:$C$525,"=576",'Plan rashoda za unos u SAP'!$M$3:$M$525,"=382")+SUMIFS('ANALITIKA EU PROJEKATA'!$G$3:$G$586,'ANALITIKA EU PROJEKATA'!$A$3:$A$586,"=576",'ANALITIKA EU PROJEKATA'!$K$3:$K$586,"=382")</f>
        <v>0</v>
      </c>
      <c r="S35" s="138">
        <f>SUMIFS('Plan rashoda za unos u SAP'!$I$3:$I$525,'Plan rashoda za unos u SAP'!$C$3:$C$525,"=581",'Plan rashoda za unos u SAP'!$M$3:$M$525,"=382")+SUMIFS('ANALITIKA EU PROJEKATA'!$G$3:$G$586,'ANALITIKA EU PROJEKATA'!$A$3:$A$586,"=581",'ANALITIKA EU PROJEKATA'!$K$3:$K$586,"=382")</f>
        <v>0</v>
      </c>
      <c r="T35" s="138">
        <f>SUMIFS('Plan rashoda za unos u SAP'!$I$3:$I$525,'Plan rashoda za unos u SAP'!$C$3:$C$525,"=61",'Plan rashoda za unos u SAP'!$M$3:$M$525,"=382")+SUMIFS('ANALITIKA EU PROJEKATA'!$G$3:$G$586,'ANALITIKA EU PROJEKATA'!$A$3:$A$586,"=61",'ANALITIKA EU PROJEKATA'!$K$3:$K$586,"=382")</f>
        <v>0</v>
      </c>
      <c r="U35" s="138">
        <f>SUMIFS('Plan rashoda za unos u SAP'!$I$3:$I$525,'Plan rashoda za unos u SAP'!$C$3:$C$525,"=63",'Plan rashoda za unos u SAP'!$M$3:$M$525,"=382")+SUMIFS('ANALITIKA EU PROJEKATA'!$G$3:$G$586,'ANALITIKA EU PROJEKATA'!$A$3:$A$586,"=63",'ANALITIKA EU PROJEKATA'!$K$3:$K$586,"=382")</f>
        <v>0</v>
      </c>
      <c r="V35" s="138">
        <f>SUMIFS('Plan rashoda za unos u SAP'!$I$3:$I$525,'Plan rashoda za unos u SAP'!$C$3:$C$525,"=71",'Plan rashoda za unos u SAP'!$M$3:$M$525,"=382")+SUMIFS('ANALITIKA EU PROJEKATA'!$G$3:$G$586,'ANALITIKA EU PROJEKATA'!$A$3:$A$586,"=71",'ANALITIKA EU PROJEKATA'!$K$3:$K$586,"=382")</f>
        <v>0</v>
      </c>
      <c r="W35" s="138">
        <f>SUMIFS('Plan rashoda za unos u SAP'!$I$3:$I$525,'Plan rashoda za unos u SAP'!$C$3:$C$525,"=81",'Plan rashoda za unos u SAP'!$M$3:$M$525,"=382")+SUMIFS('ANALITIKA EU PROJEKATA'!$G$3:$G$586,'ANALITIKA EU PROJEKATA'!$A$3:$A$586,"=81",'ANALITIKA EU PROJEKATA'!$K$3:$K$586,"=382")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330</v>
      </c>
      <c r="D36" s="14">
        <f t="shared" si="10"/>
        <v>0</v>
      </c>
      <c r="E36" s="138">
        <f>SUMIFS('Plan rashoda za unos u SAP'!$I$3:$I$525,'Plan rashoda za unos u SAP'!$C$3:$C$525,"=11",'Plan rashoda za unos u SAP'!$M$3:$M$525,"=383")+SUMIFS('ANALITIKA EU PROJEKATA'!$G$3:$G$586,'ANALITIKA EU PROJEKATA'!$A$3:$A$586,"=11",'ANALITIKA EU PROJEKATA'!$K$3:$K$586,"=383")</f>
        <v>0</v>
      </c>
      <c r="F36" s="138">
        <f>SUMIFS('Plan rashoda za unos u SAP'!$I$3:$I$525,'Plan rashoda za unos u SAP'!$C$3:$C$525,"=12",'Plan rashoda za unos u SAP'!$M$3:$M$525,"=383")+SUMIFS('ANALITIKA EU PROJEKATA'!$G$3:$G$586,'ANALITIKA EU PROJEKATA'!$A$3:$A$586,"=12",'ANALITIKA EU PROJEKATA'!$K$3:$K$586,"=383")</f>
        <v>0</v>
      </c>
      <c r="G36" s="138">
        <f>SUMIFS('Plan rashoda za unos u SAP'!$I$3:$I$525,'Plan rashoda za unos u SAP'!$C$3:$C$525,"=31",'Plan rashoda za unos u SAP'!$M$3:$M$525,"=383")+SUMIFS('ANALITIKA EU PROJEKATA'!$G$3:$G$586,'ANALITIKA EU PROJEKATA'!$A$3:$A$586,"=31",'ANALITIKA EU PROJEKATA'!$K$3:$K$586,"=383")</f>
        <v>0</v>
      </c>
      <c r="H36" s="138">
        <f>SUMIFS('Plan rashoda za unos u SAP'!$I$3:$I$525,'Plan rashoda za unos u SAP'!$C$3:$C$525,"=41",'Plan rashoda za unos u SAP'!$M$3:$M$525,"=383")+SUMIFS('ANALITIKA EU PROJEKATA'!$G$3:$G$586,'ANALITIKA EU PROJEKATA'!$A$3:$A$586,"=41",'ANALITIKA EU PROJEKATA'!$K$3:$K$586,"=383")</f>
        <v>0</v>
      </c>
      <c r="I36" s="138">
        <f>SUMIFS('Plan rashoda za unos u SAP'!$I$3:$I$525,'Plan rashoda za unos u SAP'!$C$3:$C$525,"=43",'Plan rashoda za unos u SAP'!$M$3:$M$525,"=383")+SUMIFS('ANALITIKA EU PROJEKATA'!$G$3:$G$586,'ANALITIKA EU PROJEKATA'!$A$3:$A$586,"=43",'ANALITIKA EU PROJEKATA'!$K$3:$K$586,"=383")</f>
        <v>0</v>
      </c>
      <c r="J36" s="138">
        <f>SUMIFS('Plan rashoda za unos u SAP'!$I$3:$I$525,'Plan rashoda za unos u SAP'!$C$3:$C$525,"=51",'Plan rashoda za unos u SAP'!$M$3:$M$525,"=383")+SUMIFS('ANALITIKA EU PROJEKATA'!$G$3:$G$586,'ANALITIKA EU PROJEKATA'!$A$3:$A$586,"=51",'ANALITIKA EU PROJEKATA'!$K$3:$K$586,"=383")</f>
        <v>0</v>
      </c>
      <c r="K36" s="138">
        <f>SUMIFS('Plan rashoda za unos u SAP'!$I$3:$I$525,'Plan rashoda za unos u SAP'!$C$3:$C$525,"=52",'Plan rashoda za unos u SAP'!$M$3:$M$525,"=383")+SUMIFS('ANALITIKA EU PROJEKATA'!$G$3:$G$586,'ANALITIKA EU PROJEKATA'!$A$3:$A$586,"=52",'ANALITIKA EU PROJEKATA'!$K$3:$K$586,"=383")</f>
        <v>0</v>
      </c>
      <c r="L36" s="138">
        <f>SUMIFS('Plan rashoda za unos u SAP'!$I$3:$I$525,'Plan rashoda za unos u SAP'!$C$3:$C$525,"=552",'Plan rashoda za unos u SAP'!$M$3:$M$525,"=383")+SUMIFS('ANALITIKA EU PROJEKATA'!$G$3:$G$586,'ANALITIKA EU PROJEKATA'!$A$3:$A$586,"=552",'ANALITIKA EU PROJEKATA'!$K$3:$K$586,"=383")</f>
        <v>0</v>
      </c>
      <c r="M36" s="138">
        <f>SUMIFS('Plan rashoda za unos u SAP'!$I$3:$I$525,'Plan rashoda za unos u SAP'!$C$3:$C$525,"=559",'Plan rashoda za unos u SAP'!$M$3:$M$525,"=383")+SUMIFS('ANALITIKA EU PROJEKATA'!$G$3:$G$586,'ANALITIKA EU PROJEKATA'!$A$3:$A$586,"=559",'ANALITIKA EU PROJEKATA'!$K$3:$K$586,"=383")</f>
        <v>0</v>
      </c>
      <c r="N36" s="138">
        <f>SUMIFS('Plan rashoda za unos u SAP'!$I$3:$I$525,'Plan rashoda za unos u SAP'!$C$3:$C$525,"=561",'Plan rashoda za unos u SAP'!$M$3:$M$525,"=383")+SUMIFS('ANALITIKA EU PROJEKATA'!$G$3:$G$586,'ANALITIKA EU PROJEKATA'!$A$3:$A$586,"=561",'ANALITIKA EU PROJEKATA'!$K$3:$K$586,"=383")</f>
        <v>0</v>
      </c>
      <c r="O36" s="138">
        <f>SUMIFS('Plan rashoda za unos u SAP'!$I$3:$I$525,'Plan rashoda za unos u SAP'!$C$3:$C$525,"=563",'Plan rashoda za unos u SAP'!$M$3:$M$525,"=383")+SUMIFS('ANALITIKA EU PROJEKATA'!$G$3:$G$586,'ANALITIKA EU PROJEKATA'!$A$3:$A$586,"=563",'ANALITIKA EU PROJEKATA'!$K$3:$K$586,"=383")</f>
        <v>0</v>
      </c>
      <c r="P36" s="138">
        <f>SUMIFS('Plan rashoda za unos u SAP'!$I$3:$I$525,'Plan rashoda za unos u SAP'!$C$3:$C$525,"=573",'Plan rashoda za unos u SAP'!$M$3:$M$525,"=383")+SUMIFS('ANALITIKA EU PROJEKATA'!$G$3:$G$586,'ANALITIKA EU PROJEKATA'!$A$3:$A$586,"=573",'ANALITIKA EU PROJEKATA'!$K$3:$K$586,"=383")</f>
        <v>0</v>
      </c>
      <c r="Q36" s="138">
        <f>SUMIFS('Plan rashoda za unos u SAP'!$I$3:$I$525,'Plan rashoda za unos u SAP'!$C$3:$C$525,"=575",'Plan rashoda za unos u SAP'!$M$3:$M$525,"=383")+SUMIFS('ANALITIKA EU PROJEKATA'!$G$3:$G$586,'ANALITIKA EU PROJEKATA'!$A$3:$A$586,"=575",'ANALITIKA EU PROJEKATA'!$K$3:$K$586,"=383")</f>
        <v>0</v>
      </c>
      <c r="R36" s="138">
        <f>SUMIFS('Plan rashoda za unos u SAP'!$I$3:$I$525,'Plan rashoda za unos u SAP'!$C$3:$C$525,"=576",'Plan rashoda za unos u SAP'!$M$3:$M$525,"=383")+SUMIFS('ANALITIKA EU PROJEKATA'!$G$3:$G$586,'ANALITIKA EU PROJEKATA'!$A$3:$A$586,"=576",'ANALITIKA EU PROJEKATA'!$K$3:$K$586,"=383")</f>
        <v>0</v>
      </c>
      <c r="S36" s="138">
        <f>SUMIFS('Plan rashoda za unos u SAP'!$I$3:$I$525,'Plan rashoda za unos u SAP'!$C$3:$C$525,"=581",'Plan rashoda za unos u SAP'!$M$3:$M$525,"=383")+SUMIFS('ANALITIKA EU PROJEKATA'!$G$3:$G$586,'ANALITIKA EU PROJEKATA'!$A$3:$A$586,"=581",'ANALITIKA EU PROJEKATA'!$K$3:$K$586,"=383")</f>
        <v>0</v>
      </c>
      <c r="T36" s="138">
        <f>SUMIFS('Plan rashoda za unos u SAP'!$I$3:$I$525,'Plan rashoda za unos u SAP'!$C$3:$C$525,"=61",'Plan rashoda za unos u SAP'!$M$3:$M$525,"=383")+SUMIFS('ANALITIKA EU PROJEKATA'!$G$3:$G$586,'ANALITIKA EU PROJEKATA'!$A$3:$A$586,"=61",'ANALITIKA EU PROJEKATA'!$K$3:$K$586,"=383")</f>
        <v>0</v>
      </c>
      <c r="U36" s="138">
        <f>SUMIFS('Plan rashoda za unos u SAP'!$I$3:$I$525,'Plan rashoda za unos u SAP'!$C$3:$C$525,"=63",'Plan rashoda za unos u SAP'!$M$3:$M$525,"=383")+SUMIFS('ANALITIKA EU PROJEKATA'!$G$3:$G$586,'ANALITIKA EU PROJEKATA'!$A$3:$A$586,"=63",'ANALITIKA EU PROJEKATA'!$K$3:$K$586,"=383")</f>
        <v>0</v>
      </c>
      <c r="V36" s="138">
        <f>SUMIFS('Plan rashoda za unos u SAP'!$I$3:$I$525,'Plan rashoda za unos u SAP'!$C$3:$C$525,"=71",'Plan rashoda za unos u SAP'!$M$3:$M$525,"=383")+SUMIFS('ANALITIKA EU PROJEKATA'!$G$3:$G$586,'ANALITIKA EU PROJEKATA'!$A$3:$A$586,"=71",'ANALITIKA EU PROJEKATA'!$K$3:$K$586,"=383")</f>
        <v>0</v>
      </c>
      <c r="W36" s="138">
        <f>SUMIFS('Plan rashoda za unos u SAP'!$I$3:$I$525,'Plan rashoda za unos u SAP'!$C$3:$C$525,"=81",'Plan rashoda za unos u SAP'!$M$3:$M$525,"=383")+SUMIFS('ANALITIKA EU PROJEKATA'!$G$3:$G$586,'ANALITIKA EU PROJEKATA'!$A$3:$A$586,"=81",'ANALITIKA EU PROJEKATA'!$K$3:$K$586,"=383")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331</v>
      </c>
      <c r="D37" s="14">
        <f t="shared" si="10"/>
        <v>0</v>
      </c>
      <c r="E37" s="138">
        <f>SUMIFS('Plan rashoda za unos u SAP'!$I$3:$I$525,'Plan rashoda za unos u SAP'!$C$3:$C$525,"=11",'Plan rashoda za unos u SAP'!$M$3:$M$525,"=386")+SUMIFS('ANALITIKA EU PROJEKATA'!$G$3:$G$586,'ANALITIKA EU PROJEKATA'!$A$3:$A$586,"=11",'ANALITIKA EU PROJEKATA'!$K$3:$K$586,"=386")</f>
        <v>0</v>
      </c>
      <c r="F37" s="138">
        <f>SUMIFS('Plan rashoda za unos u SAP'!$I$3:$I$525,'Plan rashoda za unos u SAP'!$C$3:$C$525,"=12",'Plan rashoda za unos u SAP'!$M$3:$M$525,"=386")+SUMIFS('ANALITIKA EU PROJEKATA'!$G$3:$G$586,'ANALITIKA EU PROJEKATA'!$A$3:$A$586,"=12",'ANALITIKA EU PROJEKATA'!$K$3:$K$586,"=386")</f>
        <v>0</v>
      </c>
      <c r="G37" s="138">
        <f>SUMIFS('Plan rashoda za unos u SAP'!$I$3:$I$525,'Plan rashoda za unos u SAP'!$C$3:$C$525,"=31",'Plan rashoda za unos u SAP'!$M$3:$M$525,"=386")+SUMIFS('ANALITIKA EU PROJEKATA'!$G$3:$G$586,'ANALITIKA EU PROJEKATA'!$A$3:$A$586,"=31",'ANALITIKA EU PROJEKATA'!$K$3:$K$586,"=386")</f>
        <v>0</v>
      </c>
      <c r="H37" s="138">
        <f>SUMIFS('Plan rashoda za unos u SAP'!$I$3:$I$525,'Plan rashoda za unos u SAP'!$C$3:$C$525,"=41",'Plan rashoda za unos u SAP'!$M$3:$M$525,"=386")+SUMIFS('ANALITIKA EU PROJEKATA'!$G$3:$G$586,'ANALITIKA EU PROJEKATA'!$A$3:$A$586,"=41",'ANALITIKA EU PROJEKATA'!$K$3:$K$586,"=386")</f>
        <v>0</v>
      </c>
      <c r="I37" s="138">
        <f>SUMIFS('Plan rashoda za unos u SAP'!$I$3:$I$525,'Plan rashoda za unos u SAP'!$C$3:$C$525,"=43",'Plan rashoda za unos u SAP'!$M$3:$M$525,"=386")+SUMIFS('ANALITIKA EU PROJEKATA'!$G$3:$G$586,'ANALITIKA EU PROJEKATA'!$A$3:$A$586,"=43",'ANALITIKA EU PROJEKATA'!$K$3:$K$586,"=386")</f>
        <v>0</v>
      </c>
      <c r="J37" s="138">
        <f>SUMIFS('Plan rashoda za unos u SAP'!$I$3:$I$525,'Plan rashoda za unos u SAP'!$C$3:$C$525,"=51",'Plan rashoda za unos u SAP'!$M$3:$M$525,"=386")+SUMIFS('ANALITIKA EU PROJEKATA'!$G$3:$G$586,'ANALITIKA EU PROJEKATA'!$A$3:$A$586,"=51",'ANALITIKA EU PROJEKATA'!$K$3:$K$586,"=386")</f>
        <v>0</v>
      </c>
      <c r="K37" s="138">
        <f>SUMIFS('Plan rashoda za unos u SAP'!$I$3:$I$525,'Plan rashoda za unos u SAP'!$C$3:$C$525,"=52",'Plan rashoda za unos u SAP'!$M$3:$M$525,"=386")+SUMIFS('ANALITIKA EU PROJEKATA'!$G$3:$G$586,'ANALITIKA EU PROJEKATA'!$A$3:$A$586,"=52",'ANALITIKA EU PROJEKATA'!$K$3:$K$586,"=386")</f>
        <v>0</v>
      </c>
      <c r="L37" s="138">
        <f>SUMIFS('Plan rashoda za unos u SAP'!$I$3:$I$525,'Plan rashoda za unos u SAP'!$C$3:$C$525,"=552",'Plan rashoda za unos u SAP'!$M$3:$M$525,"=386")+SUMIFS('ANALITIKA EU PROJEKATA'!$G$3:$G$586,'ANALITIKA EU PROJEKATA'!$A$3:$A$586,"=552",'ANALITIKA EU PROJEKATA'!$K$3:$K$586,"=386")</f>
        <v>0</v>
      </c>
      <c r="M37" s="138">
        <f>SUMIFS('Plan rashoda za unos u SAP'!$I$3:$I$525,'Plan rashoda za unos u SAP'!$C$3:$C$525,"=559",'Plan rashoda za unos u SAP'!$M$3:$M$525,"=386")+SUMIFS('ANALITIKA EU PROJEKATA'!$G$3:$G$586,'ANALITIKA EU PROJEKATA'!$A$3:$A$586,"=559",'ANALITIKA EU PROJEKATA'!$K$3:$K$586,"=386")</f>
        <v>0</v>
      </c>
      <c r="N37" s="138">
        <f>SUMIFS('Plan rashoda za unos u SAP'!$I$3:$I$525,'Plan rashoda za unos u SAP'!$C$3:$C$525,"=561",'Plan rashoda za unos u SAP'!$M$3:$M$525,"=386")+SUMIFS('ANALITIKA EU PROJEKATA'!$G$3:$G$586,'ANALITIKA EU PROJEKATA'!$A$3:$A$586,"=561",'ANALITIKA EU PROJEKATA'!$K$3:$K$586,"=386")</f>
        <v>0</v>
      </c>
      <c r="O37" s="138">
        <f>SUMIFS('Plan rashoda za unos u SAP'!$I$3:$I$525,'Plan rashoda za unos u SAP'!$C$3:$C$525,"=563",'Plan rashoda za unos u SAP'!$M$3:$M$525,"=386")+SUMIFS('ANALITIKA EU PROJEKATA'!$G$3:$G$586,'ANALITIKA EU PROJEKATA'!$A$3:$A$586,"=563",'ANALITIKA EU PROJEKATA'!$K$3:$K$586,"=386")</f>
        <v>0</v>
      </c>
      <c r="P37" s="138">
        <f>SUMIFS('Plan rashoda za unos u SAP'!$I$3:$I$525,'Plan rashoda za unos u SAP'!$C$3:$C$525,"=573",'Plan rashoda za unos u SAP'!$M$3:$M$525,"=386")+SUMIFS('ANALITIKA EU PROJEKATA'!$G$3:$G$586,'ANALITIKA EU PROJEKATA'!$A$3:$A$586,"=573",'ANALITIKA EU PROJEKATA'!$K$3:$K$586,"=386")</f>
        <v>0</v>
      </c>
      <c r="Q37" s="138">
        <f>SUMIFS('Plan rashoda za unos u SAP'!$I$3:$I$525,'Plan rashoda za unos u SAP'!$C$3:$C$525,"=575",'Plan rashoda za unos u SAP'!$M$3:$M$525,"=386")+SUMIFS('ANALITIKA EU PROJEKATA'!$G$3:$G$586,'ANALITIKA EU PROJEKATA'!$A$3:$A$586,"=575",'ANALITIKA EU PROJEKATA'!$K$3:$K$586,"=386")</f>
        <v>0</v>
      </c>
      <c r="R37" s="138">
        <f>SUMIFS('Plan rashoda za unos u SAP'!$I$3:$I$525,'Plan rashoda za unos u SAP'!$C$3:$C$525,"=576",'Plan rashoda za unos u SAP'!$M$3:$M$525,"=386")+SUMIFS('ANALITIKA EU PROJEKATA'!$G$3:$G$586,'ANALITIKA EU PROJEKATA'!$A$3:$A$586,"=576",'ANALITIKA EU PROJEKATA'!$K$3:$K$586,"=386")</f>
        <v>0</v>
      </c>
      <c r="S37" s="138">
        <f>SUMIFS('Plan rashoda za unos u SAP'!$I$3:$I$525,'Plan rashoda za unos u SAP'!$C$3:$C$525,"=581",'Plan rashoda za unos u SAP'!$M$3:$M$525,"=386")+SUMIFS('ANALITIKA EU PROJEKATA'!$G$3:$G$586,'ANALITIKA EU PROJEKATA'!$A$3:$A$586,"=581",'ANALITIKA EU PROJEKATA'!$K$3:$K$586,"=386")</f>
        <v>0</v>
      </c>
      <c r="T37" s="138">
        <f>SUMIFS('Plan rashoda za unos u SAP'!$I$3:$I$525,'Plan rashoda za unos u SAP'!$C$3:$C$525,"=61",'Plan rashoda za unos u SAP'!$M$3:$M$525,"=386")+SUMIFS('ANALITIKA EU PROJEKATA'!$G$3:$G$586,'ANALITIKA EU PROJEKATA'!$A$3:$A$586,"=61",'ANALITIKA EU PROJEKATA'!$K$3:$K$586,"=386")</f>
        <v>0</v>
      </c>
      <c r="U37" s="138">
        <f>SUMIFS('Plan rashoda za unos u SAP'!$I$3:$I$525,'Plan rashoda za unos u SAP'!$C$3:$C$525,"=63",'Plan rashoda za unos u SAP'!$M$3:$M$525,"=386")+SUMIFS('ANALITIKA EU PROJEKATA'!$G$3:$G$586,'ANALITIKA EU PROJEKATA'!$A$3:$A$586,"=63",'ANALITIKA EU PROJEKATA'!$K$3:$K$586,"=386")</f>
        <v>0</v>
      </c>
      <c r="V37" s="138">
        <f>SUMIFS('Plan rashoda za unos u SAP'!$I$3:$I$525,'Plan rashoda za unos u SAP'!$C$3:$C$525,"=71",'Plan rashoda za unos u SAP'!$M$3:$M$525,"=386")+SUMIFS('ANALITIKA EU PROJEKATA'!$G$3:$G$586,'ANALITIKA EU PROJEKATA'!$A$3:$A$586,"=71",'ANALITIKA EU PROJEKATA'!$K$3:$K$586,"=386")</f>
        <v>0</v>
      </c>
      <c r="W37" s="138">
        <f>SUMIFS('Plan rashoda za unos u SAP'!$I$3:$I$525,'Plan rashoda za unos u SAP'!$C$3:$C$525,"=81",'Plan rashoda za unos u SAP'!$M$3:$M$525,"=386")+SUMIFS('ANALITIKA EU PROJEKATA'!$G$3:$G$586,'ANALITIKA EU PROJEKATA'!$A$3:$A$586,"=81",'ANALITIKA EU PROJEKATA'!$K$3:$K$586,"=386")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4274225.8390673939</v>
      </c>
      <c r="E38" s="126">
        <f>E42+E49+E51+E53+E39</f>
        <v>1649000</v>
      </c>
      <c r="F38" s="126">
        <f t="shared" ref="F38:W38" si="11">F42+F49+F51+F53+F39</f>
        <v>0</v>
      </c>
      <c r="G38" s="126">
        <f t="shared" si="11"/>
        <v>1228800</v>
      </c>
      <c r="H38" s="126">
        <f>H42+H49+H51+H53+H39</f>
        <v>0</v>
      </c>
      <c r="I38" s="126">
        <f t="shared" si="11"/>
        <v>1174171</v>
      </c>
      <c r="J38" s="126">
        <f t="shared" si="11"/>
        <v>15180.090796533223</v>
      </c>
      <c r="K38" s="126">
        <f t="shared" si="11"/>
        <v>207074.7482708609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332</v>
      </c>
      <c r="D39" s="4">
        <f t="shared" si="10"/>
        <v>272633</v>
      </c>
      <c r="E39" s="12">
        <f t="shared" ref="E39:W39" si="12">SUM(E40:E41)</f>
        <v>120000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152633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333</v>
      </c>
      <c r="D40" s="14">
        <f t="shared" si="10"/>
        <v>0</v>
      </c>
      <c r="E40" s="138">
        <f>SUMIFS('Plan rashoda za unos u SAP'!$I$3:$I$525,'Plan rashoda za unos u SAP'!$C$3:$C$525,"=11",'Plan rashoda za unos u SAP'!$M$3:$M$525,"=411")+SUMIFS('ANALITIKA EU PROJEKATA'!$G$3:$G$586,'ANALITIKA EU PROJEKATA'!$A$3:$A$586,"=11",'ANALITIKA EU PROJEKATA'!$K$3:$K$586,"=411")</f>
        <v>0</v>
      </c>
      <c r="F40" s="138">
        <f>SUMIFS('Plan rashoda za unos u SAP'!$I$3:$I$525,'Plan rashoda za unos u SAP'!$C$3:$C$525,"=12",'Plan rashoda za unos u SAP'!$M$3:$M$525,"=411")+SUMIFS('ANALITIKA EU PROJEKATA'!$G$3:$G$586,'ANALITIKA EU PROJEKATA'!$A$3:$A$586,"=12",'ANALITIKA EU PROJEKATA'!$K$3:$K$586,"=411")</f>
        <v>0</v>
      </c>
      <c r="G40" s="138">
        <f>SUMIFS('Plan rashoda za unos u SAP'!$I$3:$I$525,'Plan rashoda za unos u SAP'!$C$3:$C$525,"=31",'Plan rashoda za unos u SAP'!$M$3:$M$525,"=411")+SUMIFS('ANALITIKA EU PROJEKATA'!$G$3:$G$586,'ANALITIKA EU PROJEKATA'!$A$3:$A$586,"=31",'ANALITIKA EU PROJEKATA'!$K$3:$K$586,"=411")</f>
        <v>0</v>
      </c>
      <c r="H40" s="138">
        <f>SUMIFS('Plan rashoda za unos u SAP'!$I$3:$I$525,'Plan rashoda za unos u SAP'!$C$3:$C$525,"=41",'Plan rashoda za unos u SAP'!$M$3:$M$525,"=411")+SUMIFS('ANALITIKA EU PROJEKATA'!$G$3:$G$586,'ANALITIKA EU PROJEKATA'!$A$3:$A$586,"=41",'ANALITIKA EU PROJEKATA'!$K$3:$K$586,"=411")</f>
        <v>0</v>
      </c>
      <c r="I40" s="138">
        <f>SUMIFS('Plan rashoda za unos u SAP'!$I$3:$I$525,'Plan rashoda za unos u SAP'!$C$3:$C$525,"=43",'Plan rashoda za unos u SAP'!$M$3:$M$525,"=411")+SUMIFS('ANALITIKA EU PROJEKATA'!$G$3:$G$586,'ANALITIKA EU PROJEKATA'!$A$3:$A$586,"=43",'ANALITIKA EU PROJEKATA'!$K$3:$K$586,"=411")</f>
        <v>0</v>
      </c>
      <c r="J40" s="138">
        <f>SUMIFS('Plan rashoda za unos u SAP'!$I$3:$I$525,'Plan rashoda za unos u SAP'!$C$3:$C$525,"=51",'Plan rashoda za unos u SAP'!$M$3:$M$525,"=411")+SUMIFS('ANALITIKA EU PROJEKATA'!$G$3:$G$586,'ANALITIKA EU PROJEKATA'!$A$3:$A$586,"=51",'ANALITIKA EU PROJEKATA'!$K$3:$K$586,"=411")</f>
        <v>0</v>
      </c>
      <c r="K40" s="138">
        <f>SUMIFS('Plan rashoda za unos u SAP'!$I$3:$I$525,'Plan rashoda za unos u SAP'!$C$3:$C$525,"=52",'Plan rashoda za unos u SAP'!$M$3:$M$525,"=411")+SUMIFS('ANALITIKA EU PROJEKATA'!$G$3:$G$586,'ANALITIKA EU PROJEKATA'!$A$3:$A$586,"=52",'ANALITIKA EU PROJEKATA'!$K$3:$K$586,"=411")</f>
        <v>0</v>
      </c>
      <c r="L40" s="138">
        <f>SUMIFS('Plan rashoda za unos u SAP'!$I$3:$I$525,'Plan rashoda za unos u SAP'!$C$3:$C$525,"=552",'Plan rashoda za unos u SAP'!$M$3:$M$525,"=411")+SUMIFS('ANALITIKA EU PROJEKATA'!$G$3:$G$586,'ANALITIKA EU PROJEKATA'!$A$3:$A$586,"=552",'ANALITIKA EU PROJEKATA'!$K$3:$K$586,"=411")</f>
        <v>0</v>
      </c>
      <c r="M40" s="138">
        <f>SUMIFS('Plan rashoda za unos u SAP'!$I$3:$I$525,'Plan rashoda za unos u SAP'!$C$3:$C$525,"=559",'Plan rashoda za unos u SAP'!$M$3:$M$525,"=411")+SUMIFS('ANALITIKA EU PROJEKATA'!$G$3:$G$586,'ANALITIKA EU PROJEKATA'!$A$3:$A$586,"=559",'ANALITIKA EU PROJEKATA'!$K$3:$K$586,"=411")</f>
        <v>0</v>
      </c>
      <c r="N40" s="138">
        <f>SUMIFS('Plan rashoda za unos u SAP'!$I$3:$I$525,'Plan rashoda za unos u SAP'!$C$3:$C$525,"=561",'Plan rashoda za unos u SAP'!$M$3:$M$525,"=411")+SUMIFS('ANALITIKA EU PROJEKATA'!$G$3:$G$586,'ANALITIKA EU PROJEKATA'!$A$3:$A$586,"=561",'ANALITIKA EU PROJEKATA'!$K$3:$K$586,"=411")</f>
        <v>0</v>
      </c>
      <c r="O40" s="138">
        <f>SUMIFS('Plan rashoda za unos u SAP'!$I$3:$I$525,'Plan rashoda za unos u SAP'!$C$3:$C$525,"=563",'Plan rashoda za unos u SAP'!$M$3:$M$525,"=411")+SUMIFS('ANALITIKA EU PROJEKATA'!$G$3:$G$586,'ANALITIKA EU PROJEKATA'!$A$3:$A$586,"=563",'ANALITIKA EU PROJEKATA'!$K$3:$K$586,"=411")</f>
        <v>0</v>
      </c>
      <c r="P40" s="138">
        <f>SUMIFS('Plan rashoda za unos u SAP'!$I$3:$I$525,'Plan rashoda za unos u SAP'!$C$3:$C$525,"=573",'Plan rashoda za unos u SAP'!$M$3:$M$525,"=411")+SUMIFS('ANALITIKA EU PROJEKATA'!$G$3:$G$586,'ANALITIKA EU PROJEKATA'!$A$3:$A$586,"=573",'ANALITIKA EU PROJEKATA'!$K$3:$K$586,"=411")</f>
        <v>0</v>
      </c>
      <c r="Q40" s="138">
        <f>SUMIFS('Plan rashoda za unos u SAP'!$I$3:$I$525,'Plan rashoda za unos u SAP'!$C$3:$C$525,"=575",'Plan rashoda za unos u SAP'!$M$3:$M$525,"=411")+SUMIFS('ANALITIKA EU PROJEKATA'!$G$3:$G$586,'ANALITIKA EU PROJEKATA'!$A$3:$A$586,"=575",'ANALITIKA EU PROJEKATA'!$K$3:$K$586,"=411")</f>
        <v>0</v>
      </c>
      <c r="R40" s="138">
        <f>SUMIFS('Plan rashoda za unos u SAP'!$I$3:$I$525,'Plan rashoda za unos u SAP'!$C$3:$C$525,"=576",'Plan rashoda za unos u SAP'!$M$3:$M$525,"=411")+SUMIFS('ANALITIKA EU PROJEKATA'!$G$3:$G$586,'ANALITIKA EU PROJEKATA'!$A$3:$A$586,"=576",'ANALITIKA EU PROJEKATA'!$K$3:$K$586,"=411")</f>
        <v>0</v>
      </c>
      <c r="S40" s="138">
        <f>SUMIFS('Plan rashoda za unos u SAP'!$I$3:$I$525,'Plan rashoda za unos u SAP'!$C$3:$C$525,"=581",'Plan rashoda za unos u SAP'!$M$3:$M$525,"=411")+SUMIFS('ANALITIKA EU PROJEKATA'!$G$3:$G$586,'ANALITIKA EU PROJEKATA'!$A$3:$A$586,"=581",'ANALITIKA EU PROJEKATA'!$K$3:$K$586,"=411")</f>
        <v>0</v>
      </c>
      <c r="T40" s="138">
        <f>SUMIFS('Plan rashoda za unos u SAP'!$I$3:$I$525,'Plan rashoda za unos u SAP'!$C$3:$C$525,"=61",'Plan rashoda za unos u SAP'!$M$3:$M$525,"=411")+SUMIFS('ANALITIKA EU PROJEKATA'!$G$3:$G$586,'ANALITIKA EU PROJEKATA'!$A$3:$A$586,"=61",'ANALITIKA EU PROJEKATA'!$K$3:$K$586,"=411")</f>
        <v>0</v>
      </c>
      <c r="U40" s="138">
        <f>SUMIFS('Plan rashoda za unos u SAP'!$I$3:$I$525,'Plan rashoda za unos u SAP'!$C$3:$C$525,"=63",'Plan rashoda za unos u SAP'!$M$3:$M$525,"=411")+SUMIFS('ANALITIKA EU PROJEKATA'!$G$3:$G$586,'ANALITIKA EU PROJEKATA'!$A$3:$A$586,"=63",'ANALITIKA EU PROJEKATA'!$K$3:$K$586,"=411")</f>
        <v>0</v>
      </c>
      <c r="V40" s="138">
        <f>SUMIFS('Plan rashoda za unos u SAP'!$I$3:$I$525,'Plan rashoda za unos u SAP'!$C$3:$C$525,"=71",'Plan rashoda za unos u SAP'!$M$3:$M$525,"=411")+SUMIFS('ANALITIKA EU PROJEKATA'!$G$3:$G$586,'ANALITIKA EU PROJEKATA'!$A$3:$A$586,"=71",'ANALITIKA EU PROJEKATA'!$K$3:$K$586,"=411")</f>
        <v>0</v>
      </c>
      <c r="W40" s="138">
        <f>SUMIFS('Plan rashoda za unos u SAP'!$I$3:$I$525,'Plan rashoda za unos u SAP'!$C$3:$C$525,"=81",'Plan rashoda za unos u SAP'!$M$3:$M$525,"=411")+SUMIFS('ANALITIKA EU PROJEKATA'!$G$3:$G$586,'ANALITIKA EU PROJEKATA'!$A$3:$A$586,"=81",'ANALITIKA EU PROJEKATA'!$K$3:$K$586,"=411")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334</v>
      </c>
      <c r="D41" s="14">
        <f t="shared" si="10"/>
        <v>272633</v>
      </c>
      <c r="E41" s="138">
        <f>SUMIFS('Plan rashoda za unos u SAP'!$I$3:$I$525,'Plan rashoda za unos u SAP'!$C$3:$C$525,"=11",'Plan rashoda za unos u SAP'!$M$3:$M$525,"=412")+SUMIFS('ANALITIKA EU PROJEKATA'!$G$3:$G$586,'ANALITIKA EU PROJEKATA'!$A$3:$A$586,"=11",'ANALITIKA EU PROJEKATA'!$K$3:$K$586,"=412")</f>
        <v>120000</v>
      </c>
      <c r="F41" s="138">
        <f>SUMIFS('Plan rashoda za unos u SAP'!$I$3:$I$525,'Plan rashoda za unos u SAP'!$C$3:$C$525,"=12",'Plan rashoda za unos u SAP'!$M$3:$M$525,"=412")+SUMIFS('ANALITIKA EU PROJEKATA'!$G$3:$G$586,'ANALITIKA EU PROJEKATA'!$A$3:$A$586,"=12",'ANALITIKA EU PROJEKATA'!$K$3:$K$586,"=412")</f>
        <v>0</v>
      </c>
      <c r="G41" s="138">
        <f>SUMIFS('Plan rashoda za unos u SAP'!$I$3:$I$525,'Plan rashoda za unos u SAP'!$C$3:$C$525,"=31",'Plan rashoda za unos u SAP'!$M$3:$M$525,"=412")+SUMIFS('ANALITIKA EU PROJEKATA'!$G$3:$G$586,'ANALITIKA EU PROJEKATA'!$A$3:$A$586,"=31",'ANALITIKA EU PROJEKATA'!$K$3:$K$586,"=412")</f>
        <v>0</v>
      </c>
      <c r="H41" s="138">
        <f>SUMIFS('Plan rashoda za unos u SAP'!$I$3:$I$525,'Plan rashoda za unos u SAP'!$C$3:$C$525,"=41",'Plan rashoda za unos u SAP'!$M$3:$M$525,"=412")+SUMIFS('ANALITIKA EU PROJEKATA'!$G$3:$G$586,'ANALITIKA EU PROJEKATA'!$A$3:$A$586,"=41",'ANALITIKA EU PROJEKATA'!$K$3:$K$586,"=412")</f>
        <v>0</v>
      </c>
      <c r="I41" s="138">
        <f>SUMIFS('Plan rashoda za unos u SAP'!$I$3:$I$525,'Plan rashoda za unos u SAP'!$C$3:$C$525,"=43",'Plan rashoda za unos u SAP'!$M$3:$M$525,"=412")+SUMIFS('ANALITIKA EU PROJEKATA'!$G$3:$G$586,'ANALITIKA EU PROJEKATA'!$A$3:$A$586,"=43",'ANALITIKA EU PROJEKATA'!$K$3:$K$586,"=412")</f>
        <v>152633</v>
      </c>
      <c r="J41" s="138">
        <f>SUMIFS('Plan rashoda za unos u SAP'!$I$3:$I$525,'Plan rashoda za unos u SAP'!$C$3:$C$525,"=51",'Plan rashoda za unos u SAP'!$M$3:$M$525,"=412")+SUMIFS('ANALITIKA EU PROJEKATA'!$G$3:$G$586,'ANALITIKA EU PROJEKATA'!$A$3:$A$586,"=51",'ANALITIKA EU PROJEKATA'!$K$3:$K$586,"=412")</f>
        <v>0</v>
      </c>
      <c r="K41" s="138">
        <f>SUMIFS('Plan rashoda za unos u SAP'!$I$3:$I$525,'Plan rashoda za unos u SAP'!$C$3:$C$525,"=52",'Plan rashoda za unos u SAP'!$M$3:$M$525,"=412")+SUMIFS('ANALITIKA EU PROJEKATA'!$G$3:$G$586,'ANALITIKA EU PROJEKATA'!$A$3:$A$586,"=52",'ANALITIKA EU PROJEKATA'!$K$3:$K$586,"=412")</f>
        <v>0</v>
      </c>
      <c r="L41" s="138">
        <f>SUMIFS('Plan rashoda za unos u SAP'!$I$3:$I$525,'Plan rashoda za unos u SAP'!$C$3:$C$525,"=552",'Plan rashoda za unos u SAP'!$M$3:$M$525,"=412")+SUMIFS('ANALITIKA EU PROJEKATA'!$G$3:$G$586,'ANALITIKA EU PROJEKATA'!$A$3:$A$586,"=552",'ANALITIKA EU PROJEKATA'!$K$3:$K$586,"=412")</f>
        <v>0</v>
      </c>
      <c r="M41" s="138">
        <f>SUMIFS('Plan rashoda za unos u SAP'!$I$3:$I$525,'Plan rashoda za unos u SAP'!$C$3:$C$525,"=559",'Plan rashoda za unos u SAP'!$M$3:$M$525,"=412")+SUMIFS('ANALITIKA EU PROJEKATA'!$G$3:$G$586,'ANALITIKA EU PROJEKATA'!$A$3:$A$586,"=559",'ANALITIKA EU PROJEKATA'!$K$3:$K$586,"=412")</f>
        <v>0</v>
      </c>
      <c r="N41" s="138">
        <f>SUMIFS('Plan rashoda za unos u SAP'!$I$3:$I$525,'Plan rashoda za unos u SAP'!$C$3:$C$525,"=561",'Plan rashoda za unos u SAP'!$M$3:$M$525,"=412")+SUMIFS('ANALITIKA EU PROJEKATA'!$G$3:$G$586,'ANALITIKA EU PROJEKATA'!$A$3:$A$586,"=561",'ANALITIKA EU PROJEKATA'!$K$3:$K$586,"=412")</f>
        <v>0</v>
      </c>
      <c r="O41" s="138">
        <f>SUMIFS('Plan rashoda za unos u SAP'!$I$3:$I$525,'Plan rashoda za unos u SAP'!$C$3:$C$525,"=563",'Plan rashoda za unos u SAP'!$M$3:$M$525,"=412")+SUMIFS('ANALITIKA EU PROJEKATA'!$G$3:$G$586,'ANALITIKA EU PROJEKATA'!$A$3:$A$586,"=563",'ANALITIKA EU PROJEKATA'!$K$3:$K$586,"=412")</f>
        <v>0</v>
      </c>
      <c r="P41" s="138">
        <f>SUMIFS('Plan rashoda za unos u SAP'!$I$3:$I$525,'Plan rashoda za unos u SAP'!$C$3:$C$525,"=573",'Plan rashoda za unos u SAP'!$M$3:$M$525,"=412")+SUMIFS('ANALITIKA EU PROJEKATA'!$G$3:$G$586,'ANALITIKA EU PROJEKATA'!$A$3:$A$586,"=573",'ANALITIKA EU PROJEKATA'!$K$3:$K$586,"=412")</f>
        <v>0</v>
      </c>
      <c r="Q41" s="138">
        <f>SUMIFS('Plan rashoda za unos u SAP'!$I$3:$I$525,'Plan rashoda za unos u SAP'!$C$3:$C$525,"=575",'Plan rashoda za unos u SAP'!$M$3:$M$525,"=412")+SUMIFS('ANALITIKA EU PROJEKATA'!$G$3:$G$586,'ANALITIKA EU PROJEKATA'!$A$3:$A$586,"=575",'ANALITIKA EU PROJEKATA'!$K$3:$K$586,"=412")</f>
        <v>0</v>
      </c>
      <c r="R41" s="138">
        <f>SUMIFS('Plan rashoda za unos u SAP'!$I$3:$I$525,'Plan rashoda za unos u SAP'!$C$3:$C$525,"=576",'Plan rashoda za unos u SAP'!$M$3:$M$525,"=412")+SUMIFS('ANALITIKA EU PROJEKATA'!$G$3:$G$586,'ANALITIKA EU PROJEKATA'!$A$3:$A$586,"=576",'ANALITIKA EU PROJEKATA'!$K$3:$K$586,"=412")</f>
        <v>0</v>
      </c>
      <c r="S41" s="138">
        <f>SUMIFS('Plan rashoda za unos u SAP'!$I$3:$I$525,'Plan rashoda za unos u SAP'!$C$3:$C$525,"=581",'Plan rashoda za unos u SAP'!$M$3:$M$525,"=412")+SUMIFS('ANALITIKA EU PROJEKATA'!$G$3:$G$586,'ANALITIKA EU PROJEKATA'!$A$3:$A$586,"=581",'ANALITIKA EU PROJEKATA'!$K$3:$K$586,"=412")</f>
        <v>0</v>
      </c>
      <c r="T41" s="138">
        <f>SUMIFS('Plan rashoda za unos u SAP'!$I$3:$I$525,'Plan rashoda za unos u SAP'!$C$3:$C$525,"=61",'Plan rashoda za unos u SAP'!$M$3:$M$525,"=412")+SUMIFS('ANALITIKA EU PROJEKATA'!$G$3:$G$586,'ANALITIKA EU PROJEKATA'!$A$3:$A$586,"=61",'ANALITIKA EU PROJEKATA'!$K$3:$K$586,"=412")</f>
        <v>0</v>
      </c>
      <c r="U41" s="138">
        <f>SUMIFS('Plan rashoda za unos u SAP'!$I$3:$I$525,'Plan rashoda za unos u SAP'!$C$3:$C$525,"=63",'Plan rashoda za unos u SAP'!$M$3:$M$525,"=412")+SUMIFS('ANALITIKA EU PROJEKATA'!$G$3:$G$586,'ANALITIKA EU PROJEKATA'!$A$3:$A$586,"=63",'ANALITIKA EU PROJEKATA'!$K$3:$K$586,"=412")</f>
        <v>0</v>
      </c>
      <c r="V41" s="138">
        <f>SUMIFS('Plan rashoda za unos u SAP'!$I$3:$I$525,'Plan rashoda za unos u SAP'!$C$3:$C$525,"=71",'Plan rashoda za unos u SAP'!$M$3:$M$525,"=412")+SUMIFS('ANALITIKA EU PROJEKATA'!$G$3:$G$586,'ANALITIKA EU PROJEKATA'!$A$3:$A$586,"=71",'ANALITIKA EU PROJEKATA'!$K$3:$K$586,"=412")</f>
        <v>0</v>
      </c>
      <c r="W41" s="138">
        <f>SUMIFS('Plan rashoda za unos u SAP'!$I$3:$I$525,'Plan rashoda za unos u SAP'!$C$3:$C$525,"=81",'Plan rashoda za unos u SAP'!$M$3:$M$525,"=412")+SUMIFS('ANALITIKA EU PROJEKATA'!$G$3:$G$586,'ANALITIKA EU PROJEKATA'!$A$3:$A$586,"=81",'ANALITIKA EU PROJEKATA'!$K$3:$K$586,"=412")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4001592.8390673939</v>
      </c>
      <c r="E42" s="4">
        <f t="shared" ref="E42:W42" si="13">SUM(E43:E48)</f>
        <v>1529000</v>
      </c>
      <c r="F42" s="4">
        <f t="shared" si="13"/>
        <v>0</v>
      </c>
      <c r="G42" s="4">
        <f t="shared" si="13"/>
        <v>1228800</v>
      </c>
      <c r="H42" s="4">
        <f>SUM(H43:H48)</f>
        <v>0</v>
      </c>
      <c r="I42" s="4">
        <f t="shared" si="13"/>
        <v>1021538</v>
      </c>
      <c r="J42" s="4">
        <f t="shared" si="13"/>
        <v>15180.090796533223</v>
      </c>
      <c r="K42" s="4">
        <f t="shared" si="13"/>
        <v>207074.7482708609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268706</v>
      </c>
      <c r="E43" s="138">
        <f>SUMIFS('Plan rashoda za unos u SAP'!$I$3:$I$525,'Plan rashoda za unos u SAP'!$C$3:$C$525,"=11",'Plan rashoda za unos u SAP'!$M$3:$M$525,"=421")+SUMIFS('ANALITIKA EU PROJEKATA'!$G$3:$G$586,'ANALITIKA EU PROJEKATA'!$A$3:$A$586,"=11",'ANALITIKA EU PROJEKATA'!$K$3:$K$586,"=421")</f>
        <v>0</v>
      </c>
      <c r="F43" s="138">
        <f>SUMIFS('Plan rashoda za unos u SAP'!$I$3:$I$525,'Plan rashoda za unos u SAP'!$C$3:$C$525,"=12",'Plan rashoda za unos u SAP'!$M$3:$M$525,"=421")+SUMIFS('ANALITIKA EU PROJEKATA'!$G$3:$G$586,'ANALITIKA EU PROJEKATA'!$A$3:$A$586,"=12",'ANALITIKA EU PROJEKATA'!$K$3:$K$586,"=421")</f>
        <v>0</v>
      </c>
      <c r="G43" s="138">
        <f>SUMIFS('Plan rashoda za unos u SAP'!$I$3:$I$525,'Plan rashoda za unos u SAP'!$C$3:$C$525,"=31",'Plan rashoda za unos u SAP'!$M$3:$M$525,"=421")+SUMIFS('ANALITIKA EU PROJEKATA'!$G$3:$G$586,'ANALITIKA EU PROJEKATA'!$A$3:$A$586,"=31",'ANALITIKA EU PROJEKATA'!$K$3:$K$586,"=421")</f>
        <v>0</v>
      </c>
      <c r="H43" s="138">
        <f>SUMIFS('Plan rashoda za unos u SAP'!$I$3:$I$525,'Plan rashoda za unos u SAP'!$C$3:$C$525,"=41",'Plan rashoda za unos u SAP'!$M$3:$M$525,"=421")+SUMIFS('ANALITIKA EU PROJEKATA'!$G$3:$G$586,'ANALITIKA EU PROJEKATA'!$A$3:$A$586,"=41",'ANALITIKA EU PROJEKATA'!$K$3:$K$586,"=421")</f>
        <v>0</v>
      </c>
      <c r="I43" s="138">
        <f>SUMIFS('Plan rashoda za unos u SAP'!$I$3:$I$525,'Plan rashoda za unos u SAP'!$C$3:$C$525,"=43",'Plan rashoda za unos u SAP'!$M$3:$M$525,"=421")+SUMIFS('ANALITIKA EU PROJEKATA'!$G$3:$G$586,'ANALITIKA EU PROJEKATA'!$A$3:$A$586,"=43",'ANALITIKA EU PROJEKATA'!$K$3:$K$586,"=421")</f>
        <v>268706</v>
      </c>
      <c r="J43" s="138">
        <f>SUMIFS('Plan rashoda za unos u SAP'!$I$3:$I$525,'Plan rashoda za unos u SAP'!$C$3:$C$525,"=51",'Plan rashoda za unos u SAP'!$M$3:$M$525,"=421")+SUMIFS('ANALITIKA EU PROJEKATA'!$G$3:$G$586,'ANALITIKA EU PROJEKATA'!$A$3:$A$586,"=51",'ANALITIKA EU PROJEKATA'!$K$3:$K$586,"=421")</f>
        <v>0</v>
      </c>
      <c r="K43" s="138">
        <f>SUMIFS('Plan rashoda za unos u SAP'!$I$3:$I$525,'Plan rashoda za unos u SAP'!$C$3:$C$525,"=52",'Plan rashoda za unos u SAP'!$M$3:$M$525,"=421")+SUMIFS('ANALITIKA EU PROJEKATA'!$G$3:$G$586,'ANALITIKA EU PROJEKATA'!$A$3:$A$586,"=52",'ANALITIKA EU PROJEKATA'!$K$3:$K$586,"=421")</f>
        <v>0</v>
      </c>
      <c r="L43" s="138">
        <f>SUMIFS('Plan rashoda za unos u SAP'!$I$3:$I$525,'Plan rashoda za unos u SAP'!$C$3:$C$525,"=552",'Plan rashoda za unos u SAP'!$M$3:$M$525,"=421")+SUMIFS('ANALITIKA EU PROJEKATA'!$G$3:$G$586,'ANALITIKA EU PROJEKATA'!$A$3:$A$586,"=552",'ANALITIKA EU PROJEKATA'!$K$3:$K$586,"=421")</f>
        <v>0</v>
      </c>
      <c r="M43" s="138">
        <f>SUMIFS('Plan rashoda za unos u SAP'!$I$3:$I$525,'Plan rashoda za unos u SAP'!$C$3:$C$525,"=559",'Plan rashoda za unos u SAP'!$M$3:$M$525,"=421")+SUMIFS('ANALITIKA EU PROJEKATA'!$G$3:$G$586,'ANALITIKA EU PROJEKATA'!$A$3:$A$586,"=559",'ANALITIKA EU PROJEKATA'!$K$3:$K$586,"=421")</f>
        <v>0</v>
      </c>
      <c r="N43" s="138">
        <f>SUMIFS('Plan rashoda za unos u SAP'!$I$3:$I$525,'Plan rashoda za unos u SAP'!$C$3:$C$525,"=561",'Plan rashoda za unos u SAP'!$M$3:$M$525,"=421")+SUMIFS('ANALITIKA EU PROJEKATA'!$G$3:$G$586,'ANALITIKA EU PROJEKATA'!$A$3:$A$586,"=561",'ANALITIKA EU PROJEKATA'!$K$3:$K$586,"=421")</f>
        <v>0</v>
      </c>
      <c r="O43" s="138">
        <f>SUMIFS('Plan rashoda za unos u SAP'!$I$3:$I$525,'Plan rashoda za unos u SAP'!$C$3:$C$525,"=563",'Plan rashoda za unos u SAP'!$M$3:$M$525,"=421")+SUMIFS('ANALITIKA EU PROJEKATA'!$G$3:$G$586,'ANALITIKA EU PROJEKATA'!$A$3:$A$586,"=563",'ANALITIKA EU PROJEKATA'!$K$3:$K$586,"=421")</f>
        <v>0</v>
      </c>
      <c r="P43" s="138">
        <f>SUMIFS('Plan rashoda za unos u SAP'!$I$3:$I$525,'Plan rashoda za unos u SAP'!$C$3:$C$525,"=573",'Plan rashoda za unos u SAP'!$M$3:$M$525,"=421")+SUMIFS('ANALITIKA EU PROJEKATA'!$G$3:$G$586,'ANALITIKA EU PROJEKATA'!$A$3:$A$586,"=573",'ANALITIKA EU PROJEKATA'!$K$3:$K$586,"=421")</f>
        <v>0</v>
      </c>
      <c r="Q43" s="138">
        <f>SUMIFS('Plan rashoda za unos u SAP'!$I$3:$I$525,'Plan rashoda za unos u SAP'!$C$3:$C$525,"=575",'Plan rashoda za unos u SAP'!$M$3:$M$525,"=421")+SUMIFS('ANALITIKA EU PROJEKATA'!$G$3:$G$586,'ANALITIKA EU PROJEKATA'!$A$3:$A$586,"=575",'ANALITIKA EU PROJEKATA'!$K$3:$K$586,"=421")</f>
        <v>0</v>
      </c>
      <c r="R43" s="138">
        <f>SUMIFS('Plan rashoda za unos u SAP'!$I$3:$I$525,'Plan rashoda za unos u SAP'!$C$3:$C$525,"=576",'Plan rashoda za unos u SAP'!$M$3:$M$525,"=421")+SUMIFS('ANALITIKA EU PROJEKATA'!$G$3:$G$586,'ANALITIKA EU PROJEKATA'!$A$3:$A$586,"=576",'ANALITIKA EU PROJEKATA'!$K$3:$K$586,"=421")</f>
        <v>0</v>
      </c>
      <c r="S43" s="138">
        <f>SUMIFS('Plan rashoda za unos u SAP'!$I$3:$I$525,'Plan rashoda za unos u SAP'!$C$3:$C$525,"=581",'Plan rashoda za unos u SAP'!$M$3:$M$525,"=421")+SUMIFS('ANALITIKA EU PROJEKATA'!$G$3:$G$586,'ANALITIKA EU PROJEKATA'!$A$3:$A$586,"=581",'ANALITIKA EU PROJEKATA'!$K$3:$K$586,"=421")</f>
        <v>0</v>
      </c>
      <c r="T43" s="138">
        <f>SUMIFS('Plan rashoda za unos u SAP'!$I$3:$I$525,'Plan rashoda za unos u SAP'!$C$3:$C$525,"=61",'Plan rashoda za unos u SAP'!$M$3:$M$525,"=421")+SUMIFS('ANALITIKA EU PROJEKATA'!$G$3:$G$586,'ANALITIKA EU PROJEKATA'!$A$3:$A$586,"=61",'ANALITIKA EU PROJEKATA'!$K$3:$K$586,"=421")</f>
        <v>0</v>
      </c>
      <c r="U43" s="138">
        <f>SUMIFS('Plan rashoda za unos u SAP'!$I$3:$I$525,'Plan rashoda za unos u SAP'!$C$3:$C$525,"=63",'Plan rashoda za unos u SAP'!$M$3:$M$525,"=421")+SUMIFS('ANALITIKA EU PROJEKATA'!$G$3:$G$586,'ANALITIKA EU PROJEKATA'!$A$3:$A$586,"=63",'ANALITIKA EU PROJEKATA'!$K$3:$K$586,"=421")</f>
        <v>0</v>
      </c>
      <c r="V43" s="138">
        <f>SUMIFS('Plan rashoda za unos u SAP'!$I$3:$I$525,'Plan rashoda za unos u SAP'!$C$3:$C$525,"=71",'Plan rashoda za unos u SAP'!$M$3:$M$525,"=421")+SUMIFS('ANALITIKA EU PROJEKATA'!$G$3:$G$586,'ANALITIKA EU PROJEKATA'!$A$3:$A$586,"=71",'ANALITIKA EU PROJEKATA'!$K$3:$K$586,"=421")</f>
        <v>0</v>
      </c>
      <c r="W43" s="138">
        <f>SUMIFS('Plan rashoda za unos u SAP'!$I$3:$I$525,'Plan rashoda za unos u SAP'!$C$3:$C$525,"=81",'Plan rashoda za unos u SAP'!$M$3:$M$525,"=421")+SUMIFS('ANALITIKA EU PROJEKATA'!$G$3:$G$586,'ANALITIKA EU PROJEKATA'!$A$3:$A$586,"=81",'ANALITIKA EU PROJEKATA'!$K$3:$K$586,"=421")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3005854.7482708609</v>
      </c>
      <c r="E44" s="138">
        <f>SUMIFS('Plan rashoda za unos u SAP'!$I$3:$I$525,'Plan rashoda za unos u SAP'!$C$3:$C$525,"=11",'Plan rashoda za unos u SAP'!$M$3:$M$525,"=422")+SUMIFS('ANALITIKA EU PROJEKATA'!$G$3:$G$586,'ANALITIKA EU PROJEKATA'!$A$3:$A$586,"=11",'ANALITIKA EU PROJEKATA'!$K$3:$K$586,"=422")</f>
        <v>1200500</v>
      </c>
      <c r="F44" s="138">
        <f>SUMIFS('Plan rashoda za unos u SAP'!$I$3:$I$525,'Plan rashoda za unos u SAP'!$C$3:$C$525,"=12",'Plan rashoda za unos u SAP'!$M$3:$M$525,"=422")+SUMIFS('ANALITIKA EU PROJEKATA'!$G$3:$G$586,'ANALITIKA EU PROJEKATA'!$A$3:$A$586,"=12",'ANALITIKA EU PROJEKATA'!$K$3:$K$586,"=422")</f>
        <v>0</v>
      </c>
      <c r="G44" s="138">
        <f>SUMIFS('Plan rashoda za unos u SAP'!$I$3:$I$525,'Plan rashoda za unos u SAP'!$C$3:$C$525,"=31",'Plan rashoda za unos u SAP'!$M$3:$M$525,"=422")+SUMIFS('ANALITIKA EU PROJEKATA'!$G$3:$G$586,'ANALITIKA EU PROJEKATA'!$A$3:$A$586,"=31",'ANALITIKA EU PROJEKATA'!$K$3:$K$586,"=422")</f>
        <v>1113800</v>
      </c>
      <c r="H44" s="138">
        <f>SUMIFS('Plan rashoda za unos u SAP'!$I$3:$I$525,'Plan rashoda za unos u SAP'!$C$3:$C$525,"=41",'Plan rashoda za unos u SAP'!$M$3:$M$525,"=422")+SUMIFS('ANALITIKA EU PROJEKATA'!$G$3:$G$586,'ANALITIKA EU PROJEKATA'!$A$3:$A$586,"=41",'ANALITIKA EU PROJEKATA'!$K$3:$K$586,"=422")</f>
        <v>0</v>
      </c>
      <c r="I44" s="138">
        <f>SUMIFS('Plan rashoda za unos u SAP'!$I$3:$I$525,'Plan rashoda za unos u SAP'!$C$3:$C$525,"=43",'Plan rashoda za unos u SAP'!$M$3:$M$525,"=422")+SUMIFS('ANALITIKA EU PROJEKATA'!$G$3:$G$586,'ANALITIKA EU PROJEKATA'!$A$3:$A$586,"=43",'ANALITIKA EU PROJEKATA'!$K$3:$K$586,"=422")</f>
        <v>484480</v>
      </c>
      <c r="J44" s="138">
        <f>SUMIFS('Plan rashoda za unos u SAP'!$I$3:$I$525,'Plan rashoda za unos u SAP'!$C$3:$C$525,"=51",'Plan rashoda za unos u SAP'!$M$3:$M$525,"=422")+SUMIFS('ANALITIKA EU PROJEKATA'!$G$3:$G$586,'ANALITIKA EU PROJEKATA'!$A$3:$A$586,"=51",'ANALITIKA EU PROJEKATA'!$K$3:$K$586,"=422")</f>
        <v>0</v>
      </c>
      <c r="K44" s="138">
        <f>SUMIFS('Plan rashoda za unos u SAP'!$I$3:$I$525,'Plan rashoda za unos u SAP'!$C$3:$C$525,"=52",'Plan rashoda za unos u SAP'!$M$3:$M$525,"=422")+SUMIFS('ANALITIKA EU PROJEKATA'!$G$3:$G$586,'ANALITIKA EU PROJEKATA'!$A$3:$A$586,"=52",'ANALITIKA EU PROJEKATA'!$K$3:$K$586,"=422")</f>
        <v>207074.7482708609</v>
      </c>
      <c r="L44" s="138">
        <f>SUMIFS('Plan rashoda za unos u SAP'!$I$3:$I$525,'Plan rashoda za unos u SAP'!$C$3:$C$525,"=552",'Plan rashoda za unos u SAP'!$M$3:$M$525,"=422")+SUMIFS('ANALITIKA EU PROJEKATA'!$G$3:$G$586,'ANALITIKA EU PROJEKATA'!$A$3:$A$586,"=552",'ANALITIKA EU PROJEKATA'!$K$3:$K$586,"=422")</f>
        <v>0</v>
      </c>
      <c r="M44" s="138">
        <f>SUMIFS('Plan rashoda za unos u SAP'!$I$3:$I$525,'Plan rashoda za unos u SAP'!$C$3:$C$525,"=559",'Plan rashoda za unos u SAP'!$M$3:$M$525,"=422")+SUMIFS('ANALITIKA EU PROJEKATA'!$G$3:$G$586,'ANALITIKA EU PROJEKATA'!$A$3:$A$586,"=559",'ANALITIKA EU PROJEKATA'!$K$3:$K$586,"=422")</f>
        <v>0</v>
      </c>
      <c r="N44" s="138">
        <f>SUMIFS('Plan rashoda za unos u SAP'!$I$3:$I$525,'Plan rashoda za unos u SAP'!$C$3:$C$525,"=561",'Plan rashoda za unos u SAP'!$M$3:$M$525,"=422")+SUMIFS('ANALITIKA EU PROJEKATA'!$G$3:$G$586,'ANALITIKA EU PROJEKATA'!$A$3:$A$586,"=561",'ANALITIKA EU PROJEKATA'!$K$3:$K$586,"=422")</f>
        <v>0</v>
      </c>
      <c r="O44" s="138">
        <f>SUMIFS('Plan rashoda za unos u SAP'!$I$3:$I$525,'Plan rashoda za unos u SAP'!$C$3:$C$525,"=563",'Plan rashoda za unos u SAP'!$M$3:$M$525,"=422")+SUMIFS('ANALITIKA EU PROJEKATA'!$G$3:$G$586,'ANALITIKA EU PROJEKATA'!$A$3:$A$586,"=563",'ANALITIKA EU PROJEKATA'!$K$3:$K$586,"=422")</f>
        <v>0</v>
      </c>
      <c r="P44" s="138">
        <f>SUMIFS('Plan rashoda za unos u SAP'!$I$3:$I$525,'Plan rashoda za unos u SAP'!$C$3:$C$525,"=573",'Plan rashoda za unos u SAP'!$M$3:$M$525,"=422")+SUMIFS('ANALITIKA EU PROJEKATA'!$G$3:$G$586,'ANALITIKA EU PROJEKATA'!$A$3:$A$586,"=573",'ANALITIKA EU PROJEKATA'!$K$3:$K$586,"=422")</f>
        <v>0</v>
      </c>
      <c r="Q44" s="138">
        <f>SUMIFS('Plan rashoda za unos u SAP'!$I$3:$I$525,'Plan rashoda za unos u SAP'!$C$3:$C$525,"=575",'Plan rashoda za unos u SAP'!$M$3:$M$525,"=422")+SUMIFS('ANALITIKA EU PROJEKATA'!$G$3:$G$586,'ANALITIKA EU PROJEKATA'!$A$3:$A$586,"=575",'ANALITIKA EU PROJEKATA'!$K$3:$K$586,"=422")</f>
        <v>0</v>
      </c>
      <c r="R44" s="138">
        <f>SUMIFS('Plan rashoda za unos u SAP'!$I$3:$I$525,'Plan rashoda za unos u SAP'!$C$3:$C$525,"=576",'Plan rashoda za unos u SAP'!$M$3:$M$525,"=422")+SUMIFS('ANALITIKA EU PROJEKATA'!$G$3:$G$586,'ANALITIKA EU PROJEKATA'!$A$3:$A$586,"=576",'ANALITIKA EU PROJEKATA'!$K$3:$K$586,"=422")</f>
        <v>0</v>
      </c>
      <c r="S44" s="138">
        <f>SUMIFS('Plan rashoda za unos u SAP'!$I$3:$I$525,'Plan rashoda za unos u SAP'!$C$3:$C$525,"=581",'Plan rashoda za unos u SAP'!$M$3:$M$525,"=422")+SUMIFS('ANALITIKA EU PROJEKATA'!$G$3:$G$586,'ANALITIKA EU PROJEKATA'!$A$3:$A$586,"=581",'ANALITIKA EU PROJEKATA'!$K$3:$K$586,"=422")</f>
        <v>0</v>
      </c>
      <c r="T44" s="138">
        <f>SUMIFS('Plan rashoda za unos u SAP'!$I$3:$I$525,'Plan rashoda za unos u SAP'!$C$3:$C$525,"=61",'Plan rashoda za unos u SAP'!$M$3:$M$525,"=422")+SUMIFS('ANALITIKA EU PROJEKATA'!$G$3:$G$586,'ANALITIKA EU PROJEKATA'!$A$3:$A$586,"=61",'ANALITIKA EU PROJEKATA'!$K$3:$K$586,"=422")</f>
        <v>0</v>
      </c>
      <c r="U44" s="138">
        <f>SUMIFS('Plan rashoda za unos u SAP'!$I$3:$I$525,'Plan rashoda za unos u SAP'!$C$3:$C$525,"=63",'Plan rashoda za unos u SAP'!$M$3:$M$525,"=422")+SUMIFS('ANALITIKA EU PROJEKATA'!$G$3:$G$586,'ANALITIKA EU PROJEKATA'!$A$3:$A$586,"=63",'ANALITIKA EU PROJEKATA'!$K$3:$K$586,"=422")</f>
        <v>0</v>
      </c>
      <c r="V44" s="138">
        <f>SUMIFS('Plan rashoda za unos u SAP'!$I$3:$I$525,'Plan rashoda za unos u SAP'!$C$3:$C$525,"=71",'Plan rashoda za unos u SAP'!$M$3:$M$525,"=422")+SUMIFS('ANALITIKA EU PROJEKATA'!$G$3:$G$586,'ANALITIKA EU PROJEKATA'!$A$3:$A$586,"=71",'ANALITIKA EU PROJEKATA'!$K$3:$K$586,"=422")</f>
        <v>0</v>
      </c>
      <c r="W44" s="138">
        <f>SUMIFS('Plan rashoda za unos u SAP'!$I$3:$I$525,'Plan rashoda za unos u SAP'!$C$3:$C$525,"=81",'Plan rashoda za unos u SAP'!$M$3:$M$525,"=422")+SUMIFS('ANALITIKA EU PROJEKATA'!$G$3:$G$586,'ANALITIKA EU PROJEKATA'!$A$3:$A$586,"=81",'ANALITIKA EU PROJEKATA'!$K$3:$K$586,"=422")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SAP'!$I$3:$I$525,'Plan rashoda za unos u SAP'!$C$3:$C$525,"=11",'Plan rashoda za unos u SAP'!$M$3:$M$525,"=423")+SUMIFS('ANALITIKA EU PROJEKATA'!$G$3:$G$586,'ANALITIKA EU PROJEKATA'!$A$3:$A$586,"=11",'ANALITIKA EU PROJEKATA'!$K$3:$K$586,"=423")</f>
        <v>0</v>
      </c>
      <c r="F45" s="138">
        <f>SUMIFS('Plan rashoda za unos u SAP'!$I$3:$I$525,'Plan rashoda za unos u SAP'!$C$3:$C$525,"=12",'Plan rashoda za unos u SAP'!$M$3:$M$525,"=423")+SUMIFS('ANALITIKA EU PROJEKATA'!$G$3:$G$586,'ANALITIKA EU PROJEKATA'!$A$3:$A$586,"=12",'ANALITIKA EU PROJEKATA'!$K$3:$K$586,"=423")</f>
        <v>0</v>
      </c>
      <c r="G45" s="138">
        <f>SUMIFS('Plan rashoda za unos u SAP'!$I$3:$I$525,'Plan rashoda za unos u SAP'!$C$3:$C$525,"=31",'Plan rashoda za unos u SAP'!$M$3:$M$525,"=423")+SUMIFS('ANALITIKA EU PROJEKATA'!$G$3:$G$586,'ANALITIKA EU PROJEKATA'!$A$3:$A$586,"=31",'ANALITIKA EU PROJEKATA'!$K$3:$K$586,"=423")</f>
        <v>0</v>
      </c>
      <c r="H45" s="138">
        <f>SUMIFS('Plan rashoda za unos u SAP'!$I$3:$I$525,'Plan rashoda za unos u SAP'!$C$3:$C$525,"=41",'Plan rashoda za unos u SAP'!$M$3:$M$525,"=423")+SUMIFS('ANALITIKA EU PROJEKATA'!$G$3:$G$586,'ANALITIKA EU PROJEKATA'!$A$3:$A$586,"=41",'ANALITIKA EU PROJEKATA'!$K$3:$K$586,"=423")</f>
        <v>0</v>
      </c>
      <c r="I45" s="138">
        <f>SUMIFS('Plan rashoda za unos u SAP'!$I$3:$I$525,'Plan rashoda za unos u SAP'!$C$3:$C$525,"=43",'Plan rashoda za unos u SAP'!$M$3:$M$525,"=423")+SUMIFS('ANALITIKA EU PROJEKATA'!$G$3:$G$586,'ANALITIKA EU PROJEKATA'!$A$3:$A$586,"=43",'ANALITIKA EU PROJEKATA'!$K$3:$K$586,"=423")</f>
        <v>0</v>
      </c>
      <c r="J45" s="138">
        <f>SUMIFS('Plan rashoda za unos u SAP'!$I$3:$I$525,'Plan rashoda za unos u SAP'!$C$3:$C$525,"=51",'Plan rashoda za unos u SAP'!$M$3:$M$525,"=423")+SUMIFS('ANALITIKA EU PROJEKATA'!$G$3:$G$586,'ANALITIKA EU PROJEKATA'!$A$3:$A$586,"=51",'ANALITIKA EU PROJEKATA'!$K$3:$K$586,"=423")</f>
        <v>0</v>
      </c>
      <c r="K45" s="138">
        <f>SUMIFS('Plan rashoda za unos u SAP'!$I$3:$I$525,'Plan rashoda za unos u SAP'!$C$3:$C$525,"=52",'Plan rashoda za unos u SAP'!$M$3:$M$525,"=423")+SUMIFS('ANALITIKA EU PROJEKATA'!$G$3:$G$586,'ANALITIKA EU PROJEKATA'!$A$3:$A$586,"=52",'ANALITIKA EU PROJEKATA'!$K$3:$K$586,"=423")</f>
        <v>0</v>
      </c>
      <c r="L45" s="138">
        <f>SUMIFS('Plan rashoda za unos u SAP'!$I$3:$I$525,'Plan rashoda za unos u SAP'!$C$3:$C$525,"=552",'Plan rashoda za unos u SAP'!$M$3:$M$525,"=423")+SUMIFS('ANALITIKA EU PROJEKATA'!$G$3:$G$586,'ANALITIKA EU PROJEKATA'!$A$3:$A$586,"=552",'ANALITIKA EU PROJEKATA'!$K$3:$K$586,"=423")</f>
        <v>0</v>
      </c>
      <c r="M45" s="138">
        <f>SUMIFS('Plan rashoda za unos u SAP'!$I$3:$I$525,'Plan rashoda za unos u SAP'!$C$3:$C$525,"=559",'Plan rashoda za unos u SAP'!$M$3:$M$525,"=423")+SUMIFS('ANALITIKA EU PROJEKATA'!$G$3:$G$586,'ANALITIKA EU PROJEKATA'!$A$3:$A$586,"=559",'ANALITIKA EU PROJEKATA'!$K$3:$K$586,"=423")</f>
        <v>0</v>
      </c>
      <c r="N45" s="138">
        <f>SUMIFS('Plan rashoda za unos u SAP'!$I$3:$I$525,'Plan rashoda za unos u SAP'!$C$3:$C$525,"=561",'Plan rashoda za unos u SAP'!$M$3:$M$525,"=423")+SUMIFS('ANALITIKA EU PROJEKATA'!$G$3:$G$586,'ANALITIKA EU PROJEKATA'!$A$3:$A$586,"=561",'ANALITIKA EU PROJEKATA'!$K$3:$K$586,"=423")</f>
        <v>0</v>
      </c>
      <c r="O45" s="138">
        <f>SUMIFS('Plan rashoda za unos u SAP'!$I$3:$I$525,'Plan rashoda za unos u SAP'!$C$3:$C$525,"=563",'Plan rashoda za unos u SAP'!$M$3:$M$525,"=423")+SUMIFS('ANALITIKA EU PROJEKATA'!$G$3:$G$586,'ANALITIKA EU PROJEKATA'!$A$3:$A$586,"=563",'ANALITIKA EU PROJEKATA'!$K$3:$K$586,"=423")</f>
        <v>0</v>
      </c>
      <c r="P45" s="138">
        <f>SUMIFS('Plan rashoda za unos u SAP'!$I$3:$I$525,'Plan rashoda za unos u SAP'!$C$3:$C$525,"=573",'Plan rashoda za unos u SAP'!$M$3:$M$525,"=423")+SUMIFS('ANALITIKA EU PROJEKATA'!$G$3:$G$586,'ANALITIKA EU PROJEKATA'!$A$3:$A$586,"=573",'ANALITIKA EU PROJEKATA'!$K$3:$K$586,"=423")</f>
        <v>0</v>
      </c>
      <c r="Q45" s="138">
        <f>SUMIFS('Plan rashoda za unos u SAP'!$I$3:$I$525,'Plan rashoda za unos u SAP'!$C$3:$C$525,"=575",'Plan rashoda za unos u SAP'!$M$3:$M$525,"=423")+SUMIFS('ANALITIKA EU PROJEKATA'!$G$3:$G$586,'ANALITIKA EU PROJEKATA'!$A$3:$A$586,"=575",'ANALITIKA EU PROJEKATA'!$K$3:$K$586,"=423")</f>
        <v>0</v>
      </c>
      <c r="R45" s="138">
        <f>SUMIFS('Plan rashoda za unos u SAP'!$I$3:$I$525,'Plan rashoda za unos u SAP'!$C$3:$C$525,"=576",'Plan rashoda za unos u SAP'!$M$3:$M$525,"=423")+SUMIFS('ANALITIKA EU PROJEKATA'!$G$3:$G$586,'ANALITIKA EU PROJEKATA'!$A$3:$A$586,"=576",'ANALITIKA EU PROJEKATA'!$K$3:$K$586,"=423")</f>
        <v>0</v>
      </c>
      <c r="S45" s="138">
        <f>SUMIFS('Plan rashoda za unos u SAP'!$I$3:$I$525,'Plan rashoda za unos u SAP'!$C$3:$C$525,"=581",'Plan rashoda za unos u SAP'!$M$3:$M$525,"=423")+SUMIFS('ANALITIKA EU PROJEKATA'!$G$3:$G$586,'ANALITIKA EU PROJEKATA'!$A$3:$A$586,"=581",'ANALITIKA EU PROJEKATA'!$K$3:$K$586,"=423")</f>
        <v>0</v>
      </c>
      <c r="T45" s="138">
        <f>SUMIFS('Plan rashoda za unos u SAP'!$I$3:$I$525,'Plan rashoda za unos u SAP'!$C$3:$C$525,"=61",'Plan rashoda za unos u SAP'!$M$3:$M$525,"=423")+SUMIFS('ANALITIKA EU PROJEKATA'!$G$3:$G$586,'ANALITIKA EU PROJEKATA'!$A$3:$A$586,"=61",'ANALITIKA EU PROJEKATA'!$K$3:$K$586,"=423")</f>
        <v>0</v>
      </c>
      <c r="U45" s="138">
        <f>SUMIFS('Plan rashoda za unos u SAP'!$I$3:$I$525,'Plan rashoda za unos u SAP'!$C$3:$C$525,"=63",'Plan rashoda za unos u SAP'!$M$3:$M$525,"=423")+SUMIFS('ANALITIKA EU PROJEKATA'!$G$3:$G$586,'ANALITIKA EU PROJEKATA'!$A$3:$A$586,"=63",'ANALITIKA EU PROJEKATA'!$K$3:$K$586,"=423")</f>
        <v>0</v>
      </c>
      <c r="V45" s="138">
        <f>SUMIFS('Plan rashoda za unos u SAP'!$I$3:$I$525,'Plan rashoda za unos u SAP'!$C$3:$C$525,"=71",'Plan rashoda za unos u SAP'!$M$3:$M$525,"=423")+SUMIFS('ANALITIKA EU PROJEKATA'!$G$3:$G$586,'ANALITIKA EU PROJEKATA'!$A$3:$A$586,"=71",'ANALITIKA EU PROJEKATA'!$K$3:$K$586,"=423")</f>
        <v>0</v>
      </c>
      <c r="W45" s="138">
        <f>SUMIFS('Plan rashoda za unos u SAP'!$I$3:$I$525,'Plan rashoda za unos u SAP'!$C$3:$C$525,"=81",'Plan rashoda za unos u SAP'!$M$3:$M$525,"=423")+SUMIFS('ANALITIKA EU PROJEKATA'!$G$3:$G$586,'ANALITIKA EU PROJEKATA'!$A$3:$A$586,"=81",'ANALITIKA EU PROJEKATA'!$K$3:$K$586,"=423")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612166.09079653327</v>
      </c>
      <c r="E46" s="138">
        <f>SUMIFS('Plan rashoda za unos u SAP'!$I$3:$I$525,'Plan rashoda za unos u SAP'!$C$3:$C$525,"=11",'Plan rashoda za unos u SAP'!$M$3:$M$525,"=424")+SUMIFS('ANALITIKA EU PROJEKATA'!$G$3:$G$586,'ANALITIKA EU PROJEKATA'!$A$3:$A$586,"=11",'ANALITIKA EU PROJEKATA'!$K$3:$K$586,"=424")</f>
        <v>328500</v>
      </c>
      <c r="F46" s="138">
        <f>SUMIFS('Plan rashoda za unos u SAP'!$I$3:$I$525,'Plan rashoda za unos u SAP'!$C$3:$C$525,"=12",'Plan rashoda za unos u SAP'!$M$3:$M$525,"=424")+SUMIFS('ANALITIKA EU PROJEKATA'!$G$3:$G$586,'ANALITIKA EU PROJEKATA'!$A$3:$A$586,"=12",'ANALITIKA EU PROJEKATA'!$K$3:$K$586,"=424")</f>
        <v>0</v>
      </c>
      <c r="G46" s="138">
        <f>SUMIFS('Plan rashoda za unos u SAP'!$I$3:$I$525,'Plan rashoda za unos u SAP'!$C$3:$C$525,"=31",'Plan rashoda za unos u SAP'!$M$3:$M$525,"=424")+SUMIFS('ANALITIKA EU PROJEKATA'!$G$3:$G$586,'ANALITIKA EU PROJEKATA'!$A$3:$A$586,"=31",'ANALITIKA EU PROJEKATA'!$K$3:$K$586,"=424")</f>
        <v>10000</v>
      </c>
      <c r="H46" s="138">
        <f>SUMIFS('Plan rashoda za unos u SAP'!$I$3:$I$525,'Plan rashoda za unos u SAP'!$C$3:$C$525,"=41",'Plan rashoda za unos u SAP'!$M$3:$M$525,"=424")+SUMIFS('ANALITIKA EU PROJEKATA'!$G$3:$G$586,'ANALITIKA EU PROJEKATA'!$A$3:$A$586,"=41",'ANALITIKA EU PROJEKATA'!$K$3:$K$586,"=424")</f>
        <v>0</v>
      </c>
      <c r="I46" s="138">
        <f>SUMIFS('Plan rashoda za unos u SAP'!$I$3:$I$525,'Plan rashoda za unos u SAP'!$C$3:$C$525,"=43",'Plan rashoda za unos u SAP'!$M$3:$M$525,"=424")+SUMIFS('ANALITIKA EU PROJEKATA'!$G$3:$G$586,'ANALITIKA EU PROJEKATA'!$A$3:$A$586,"=43",'ANALITIKA EU PROJEKATA'!$K$3:$K$586,"=424")</f>
        <v>258486</v>
      </c>
      <c r="J46" s="138">
        <f>SUMIFS('Plan rashoda za unos u SAP'!$I$3:$I$525,'Plan rashoda za unos u SAP'!$C$3:$C$525,"=51",'Plan rashoda za unos u SAP'!$M$3:$M$525,"=424")+SUMIFS('ANALITIKA EU PROJEKATA'!$G$3:$G$586,'ANALITIKA EU PROJEKATA'!$A$3:$A$586,"=51",'ANALITIKA EU PROJEKATA'!$K$3:$K$586,"=424")</f>
        <v>15180.090796533223</v>
      </c>
      <c r="K46" s="138">
        <f>SUMIFS('Plan rashoda za unos u SAP'!$I$3:$I$525,'Plan rashoda za unos u SAP'!$C$3:$C$525,"=52",'Plan rashoda za unos u SAP'!$M$3:$M$525,"=424")+SUMIFS('ANALITIKA EU PROJEKATA'!$G$3:$G$586,'ANALITIKA EU PROJEKATA'!$A$3:$A$586,"=52",'ANALITIKA EU PROJEKATA'!$K$3:$K$586,"=424")</f>
        <v>0</v>
      </c>
      <c r="L46" s="138">
        <f>SUMIFS('Plan rashoda za unos u SAP'!$I$3:$I$525,'Plan rashoda za unos u SAP'!$C$3:$C$525,"=552",'Plan rashoda za unos u SAP'!$M$3:$M$525,"=424")+SUMIFS('ANALITIKA EU PROJEKATA'!$G$3:$G$586,'ANALITIKA EU PROJEKATA'!$A$3:$A$586,"=552",'ANALITIKA EU PROJEKATA'!$K$3:$K$586,"=424")</f>
        <v>0</v>
      </c>
      <c r="M46" s="138">
        <f>SUMIFS('Plan rashoda za unos u SAP'!$I$3:$I$525,'Plan rashoda za unos u SAP'!$C$3:$C$525,"=559",'Plan rashoda za unos u SAP'!$M$3:$M$525,"=424")+SUMIFS('ANALITIKA EU PROJEKATA'!$G$3:$G$586,'ANALITIKA EU PROJEKATA'!$A$3:$A$586,"=559",'ANALITIKA EU PROJEKATA'!$K$3:$K$586,"=424")</f>
        <v>0</v>
      </c>
      <c r="N46" s="138">
        <f>SUMIFS('Plan rashoda za unos u SAP'!$I$3:$I$525,'Plan rashoda za unos u SAP'!$C$3:$C$525,"=561",'Plan rashoda za unos u SAP'!$M$3:$M$525,"=424")+SUMIFS('ANALITIKA EU PROJEKATA'!$G$3:$G$586,'ANALITIKA EU PROJEKATA'!$A$3:$A$586,"=561",'ANALITIKA EU PROJEKATA'!$K$3:$K$586,"=424")</f>
        <v>0</v>
      </c>
      <c r="O46" s="138">
        <f>SUMIFS('Plan rashoda za unos u SAP'!$I$3:$I$525,'Plan rashoda za unos u SAP'!$C$3:$C$525,"=563",'Plan rashoda za unos u SAP'!$M$3:$M$525,"=424")+SUMIFS('ANALITIKA EU PROJEKATA'!$G$3:$G$586,'ANALITIKA EU PROJEKATA'!$A$3:$A$586,"=563",'ANALITIKA EU PROJEKATA'!$K$3:$K$586,"=424")</f>
        <v>0</v>
      </c>
      <c r="P46" s="138">
        <f>SUMIFS('Plan rashoda za unos u SAP'!$I$3:$I$525,'Plan rashoda za unos u SAP'!$C$3:$C$525,"=573",'Plan rashoda za unos u SAP'!$M$3:$M$525,"=424")+SUMIFS('ANALITIKA EU PROJEKATA'!$G$3:$G$586,'ANALITIKA EU PROJEKATA'!$A$3:$A$586,"=573",'ANALITIKA EU PROJEKATA'!$K$3:$K$586,"=424")</f>
        <v>0</v>
      </c>
      <c r="Q46" s="138">
        <f>SUMIFS('Plan rashoda za unos u SAP'!$I$3:$I$525,'Plan rashoda za unos u SAP'!$C$3:$C$525,"=575",'Plan rashoda za unos u SAP'!$M$3:$M$525,"=424")+SUMIFS('ANALITIKA EU PROJEKATA'!$G$3:$G$586,'ANALITIKA EU PROJEKATA'!$A$3:$A$586,"=575",'ANALITIKA EU PROJEKATA'!$K$3:$K$586,"=424")</f>
        <v>0</v>
      </c>
      <c r="R46" s="138">
        <f>SUMIFS('Plan rashoda za unos u SAP'!$I$3:$I$525,'Plan rashoda za unos u SAP'!$C$3:$C$525,"=576",'Plan rashoda za unos u SAP'!$M$3:$M$525,"=424")+SUMIFS('ANALITIKA EU PROJEKATA'!$G$3:$G$586,'ANALITIKA EU PROJEKATA'!$A$3:$A$586,"=576",'ANALITIKA EU PROJEKATA'!$K$3:$K$586,"=424")</f>
        <v>0</v>
      </c>
      <c r="S46" s="138">
        <f>SUMIFS('Plan rashoda za unos u SAP'!$I$3:$I$525,'Plan rashoda za unos u SAP'!$C$3:$C$525,"=581",'Plan rashoda za unos u SAP'!$M$3:$M$525,"=424")+SUMIFS('ANALITIKA EU PROJEKATA'!$G$3:$G$586,'ANALITIKA EU PROJEKATA'!$A$3:$A$586,"=581",'ANALITIKA EU PROJEKATA'!$K$3:$K$586,"=424")</f>
        <v>0</v>
      </c>
      <c r="T46" s="138">
        <f>SUMIFS('Plan rashoda za unos u SAP'!$I$3:$I$525,'Plan rashoda za unos u SAP'!$C$3:$C$525,"=61",'Plan rashoda za unos u SAP'!$M$3:$M$525,"=424")+SUMIFS('ANALITIKA EU PROJEKATA'!$G$3:$G$586,'ANALITIKA EU PROJEKATA'!$A$3:$A$586,"=61",'ANALITIKA EU PROJEKATA'!$K$3:$K$586,"=424")</f>
        <v>0</v>
      </c>
      <c r="U46" s="138">
        <f>SUMIFS('Plan rashoda za unos u SAP'!$I$3:$I$525,'Plan rashoda za unos u SAP'!$C$3:$C$525,"=63",'Plan rashoda za unos u SAP'!$M$3:$M$525,"=424")+SUMIFS('ANALITIKA EU PROJEKATA'!$G$3:$G$586,'ANALITIKA EU PROJEKATA'!$A$3:$A$586,"=63",'ANALITIKA EU PROJEKATA'!$K$3:$K$586,"=424")</f>
        <v>0</v>
      </c>
      <c r="V46" s="138">
        <f>SUMIFS('Plan rashoda za unos u SAP'!$I$3:$I$525,'Plan rashoda za unos u SAP'!$C$3:$C$525,"=71",'Plan rashoda za unos u SAP'!$M$3:$M$525,"=424")+SUMIFS('ANALITIKA EU PROJEKATA'!$G$3:$G$586,'ANALITIKA EU PROJEKATA'!$A$3:$A$586,"=71",'ANALITIKA EU PROJEKATA'!$K$3:$K$586,"=424")</f>
        <v>0</v>
      </c>
      <c r="W46" s="138">
        <f>SUMIFS('Plan rashoda za unos u SAP'!$I$3:$I$525,'Plan rashoda za unos u SAP'!$C$3:$C$525,"=81",'Plan rashoda za unos u SAP'!$M$3:$M$525,"=424")+SUMIFS('ANALITIKA EU PROJEKATA'!$G$3:$G$586,'ANALITIKA EU PROJEKATA'!$A$3:$A$586,"=81",'ANALITIKA EU PROJEKATA'!$K$3:$K$586,"=424")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335</v>
      </c>
      <c r="D47" s="14">
        <f t="shared" si="10"/>
        <v>0</v>
      </c>
      <c r="E47" s="138">
        <f>SUMIFS('Plan rashoda za unos u SAP'!$I$3:$I$525,'Plan rashoda za unos u SAP'!$C$3:$C$525,"=11",'Plan rashoda za unos u SAP'!$M$3:$M$525,"=425")+SUMIFS('ANALITIKA EU PROJEKATA'!$G$3:$G$586,'ANALITIKA EU PROJEKATA'!$A$3:$A$586,"=11",'ANALITIKA EU PROJEKATA'!$K$3:$K$586,"=425")</f>
        <v>0</v>
      </c>
      <c r="F47" s="138">
        <f>SUMIFS('Plan rashoda za unos u SAP'!$I$3:$I$525,'Plan rashoda za unos u SAP'!$C$3:$C$525,"=12",'Plan rashoda za unos u SAP'!$M$3:$M$525,"=425")+SUMIFS('ANALITIKA EU PROJEKATA'!$G$3:$G$586,'ANALITIKA EU PROJEKATA'!$A$3:$A$586,"=12",'ANALITIKA EU PROJEKATA'!$K$3:$K$586,"=425")</f>
        <v>0</v>
      </c>
      <c r="G47" s="138">
        <f>SUMIFS('Plan rashoda za unos u SAP'!$I$3:$I$525,'Plan rashoda za unos u SAP'!$C$3:$C$525,"=31",'Plan rashoda za unos u SAP'!$M$3:$M$525,"=425")+SUMIFS('ANALITIKA EU PROJEKATA'!$G$3:$G$586,'ANALITIKA EU PROJEKATA'!$A$3:$A$586,"=31",'ANALITIKA EU PROJEKATA'!$K$3:$K$586,"=425")</f>
        <v>0</v>
      </c>
      <c r="H47" s="138">
        <f>SUMIFS('Plan rashoda za unos u SAP'!$I$3:$I$525,'Plan rashoda za unos u SAP'!$C$3:$C$525,"=41",'Plan rashoda za unos u SAP'!$M$3:$M$525,"=425")+SUMIFS('ANALITIKA EU PROJEKATA'!$G$3:$G$586,'ANALITIKA EU PROJEKATA'!$A$3:$A$586,"=41",'ANALITIKA EU PROJEKATA'!$K$3:$K$586,"=425")</f>
        <v>0</v>
      </c>
      <c r="I47" s="138">
        <f>SUMIFS('Plan rashoda za unos u SAP'!$I$3:$I$525,'Plan rashoda za unos u SAP'!$C$3:$C$525,"=43",'Plan rashoda za unos u SAP'!$M$3:$M$525,"=425")+SUMIFS('ANALITIKA EU PROJEKATA'!$G$3:$G$586,'ANALITIKA EU PROJEKATA'!$A$3:$A$586,"=43",'ANALITIKA EU PROJEKATA'!$K$3:$K$586,"=425")</f>
        <v>0</v>
      </c>
      <c r="J47" s="138">
        <f>SUMIFS('Plan rashoda za unos u SAP'!$I$3:$I$525,'Plan rashoda za unos u SAP'!$C$3:$C$525,"=51",'Plan rashoda za unos u SAP'!$M$3:$M$525,"=425")+SUMIFS('ANALITIKA EU PROJEKATA'!$G$3:$G$586,'ANALITIKA EU PROJEKATA'!$A$3:$A$586,"=51",'ANALITIKA EU PROJEKATA'!$K$3:$K$586,"=425")</f>
        <v>0</v>
      </c>
      <c r="K47" s="138">
        <f>SUMIFS('Plan rashoda za unos u SAP'!$I$3:$I$525,'Plan rashoda za unos u SAP'!$C$3:$C$525,"=52",'Plan rashoda za unos u SAP'!$M$3:$M$525,"=425")+SUMIFS('ANALITIKA EU PROJEKATA'!$G$3:$G$586,'ANALITIKA EU PROJEKATA'!$A$3:$A$586,"=52",'ANALITIKA EU PROJEKATA'!$K$3:$K$586,"=425")</f>
        <v>0</v>
      </c>
      <c r="L47" s="138">
        <f>SUMIFS('Plan rashoda za unos u SAP'!$I$3:$I$525,'Plan rashoda za unos u SAP'!$C$3:$C$525,"=552",'Plan rashoda za unos u SAP'!$M$3:$M$525,"=425")+SUMIFS('ANALITIKA EU PROJEKATA'!$G$3:$G$586,'ANALITIKA EU PROJEKATA'!$A$3:$A$586,"=552",'ANALITIKA EU PROJEKATA'!$K$3:$K$586,"=425")</f>
        <v>0</v>
      </c>
      <c r="M47" s="138">
        <f>SUMIFS('Plan rashoda za unos u SAP'!$I$3:$I$525,'Plan rashoda za unos u SAP'!$C$3:$C$525,"=559",'Plan rashoda za unos u SAP'!$M$3:$M$525,"=425")+SUMIFS('ANALITIKA EU PROJEKATA'!$G$3:$G$586,'ANALITIKA EU PROJEKATA'!$A$3:$A$586,"=559",'ANALITIKA EU PROJEKATA'!$K$3:$K$586,"=425")</f>
        <v>0</v>
      </c>
      <c r="N47" s="138">
        <f>SUMIFS('Plan rashoda za unos u SAP'!$I$3:$I$525,'Plan rashoda za unos u SAP'!$C$3:$C$525,"=561",'Plan rashoda za unos u SAP'!$M$3:$M$525,"=425")+SUMIFS('ANALITIKA EU PROJEKATA'!$G$3:$G$586,'ANALITIKA EU PROJEKATA'!$A$3:$A$586,"=561",'ANALITIKA EU PROJEKATA'!$K$3:$K$586,"=425")</f>
        <v>0</v>
      </c>
      <c r="O47" s="138">
        <f>SUMIFS('Plan rashoda za unos u SAP'!$I$3:$I$525,'Plan rashoda za unos u SAP'!$C$3:$C$525,"=563",'Plan rashoda za unos u SAP'!$M$3:$M$525,"=425")+SUMIFS('ANALITIKA EU PROJEKATA'!$G$3:$G$586,'ANALITIKA EU PROJEKATA'!$A$3:$A$586,"=563",'ANALITIKA EU PROJEKATA'!$K$3:$K$586,"=425")</f>
        <v>0</v>
      </c>
      <c r="P47" s="138">
        <f>SUMIFS('Plan rashoda za unos u SAP'!$I$3:$I$525,'Plan rashoda za unos u SAP'!$C$3:$C$525,"=573",'Plan rashoda za unos u SAP'!$M$3:$M$525,"=425")+SUMIFS('ANALITIKA EU PROJEKATA'!$G$3:$G$586,'ANALITIKA EU PROJEKATA'!$A$3:$A$586,"=573",'ANALITIKA EU PROJEKATA'!$K$3:$K$586,"=425")</f>
        <v>0</v>
      </c>
      <c r="Q47" s="138">
        <f>SUMIFS('Plan rashoda za unos u SAP'!$I$3:$I$525,'Plan rashoda za unos u SAP'!$C$3:$C$525,"=575",'Plan rashoda za unos u SAP'!$M$3:$M$525,"=425")+SUMIFS('ANALITIKA EU PROJEKATA'!$G$3:$G$586,'ANALITIKA EU PROJEKATA'!$A$3:$A$586,"=575",'ANALITIKA EU PROJEKATA'!$K$3:$K$586,"=425")</f>
        <v>0</v>
      </c>
      <c r="R47" s="138">
        <f>SUMIFS('Plan rashoda za unos u SAP'!$I$3:$I$525,'Plan rashoda za unos u SAP'!$C$3:$C$525,"=576",'Plan rashoda za unos u SAP'!$M$3:$M$525,"=425")+SUMIFS('ANALITIKA EU PROJEKATA'!$G$3:$G$586,'ANALITIKA EU PROJEKATA'!$A$3:$A$586,"=576",'ANALITIKA EU PROJEKATA'!$K$3:$K$586,"=425")</f>
        <v>0</v>
      </c>
      <c r="S47" s="138">
        <f>SUMIFS('Plan rashoda za unos u SAP'!$I$3:$I$525,'Plan rashoda za unos u SAP'!$C$3:$C$525,"=581",'Plan rashoda za unos u SAP'!$M$3:$M$525,"=425")+SUMIFS('ANALITIKA EU PROJEKATA'!$G$3:$G$586,'ANALITIKA EU PROJEKATA'!$A$3:$A$586,"=581",'ANALITIKA EU PROJEKATA'!$K$3:$K$586,"=425")</f>
        <v>0</v>
      </c>
      <c r="T47" s="138">
        <f>SUMIFS('Plan rashoda za unos u SAP'!$I$3:$I$525,'Plan rashoda za unos u SAP'!$C$3:$C$525,"=61",'Plan rashoda za unos u SAP'!$M$3:$M$525,"=425")+SUMIFS('ANALITIKA EU PROJEKATA'!$G$3:$G$586,'ANALITIKA EU PROJEKATA'!$A$3:$A$586,"=61",'ANALITIKA EU PROJEKATA'!$K$3:$K$586,"=425")</f>
        <v>0</v>
      </c>
      <c r="U47" s="138">
        <f>SUMIFS('Plan rashoda za unos u SAP'!$I$3:$I$525,'Plan rashoda za unos u SAP'!$C$3:$C$525,"=63",'Plan rashoda za unos u SAP'!$M$3:$M$525,"=425")+SUMIFS('ANALITIKA EU PROJEKATA'!$G$3:$G$586,'ANALITIKA EU PROJEKATA'!$A$3:$A$586,"=63",'ANALITIKA EU PROJEKATA'!$K$3:$K$586,"=425")</f>
        <v>0</v>
      </c>
      <c r="V47" s="138">
        <f>SUMIFS('Plan rashoda za unos u SAP'!$I$3:$I$525,'Plan rashoda za unos u SAP'!$C$3:$C$525,"=71",'Plan rashoda za unos u SAP'!$M$3:$M$525,"=425")+SUMIFS('ANALITIKA EU PROJEKATA'!$G$3:$G$586,'ANALITIKA EU PROJEKATA'!$A$3:$A$586,"=71",'ANALITIKA EU PROJEKATA'!$K$3:$K$586,"=425")</f>
        <v>0</v>
      </c>
      <c r="W47" s="138">
        <f>SUMIFS('Plan rashoda za unos u SAP'!$I$3:$I$525,'Plan rashoda za unos u SAP'!$C$3:$C$525,"=81",'Plan rashoda za unos u SAP'!$M$3:$M$525,"=425")+SUMIFS('ANALITIKA EU PROJEKATA'!$G$3:$G$586,'ANALITIKA EU PROJEKATA'!$A$3:$A$586,"=81",'ANALITIKA EU PROJEKATA'!$K$3:$K$586,"=425")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114866</v>
      </c>
      <c r="E48" s="138">
        <f>SUMIFS('Plan rashoda za unos u SAP'!$I$3:$I$525,'Plan rashoda za unos u SAP'!$C$3:$C$525,"=11",'Plan rashoda za unos u SAP'!$M$3:$M$525,"=426")+SUMIFS('ANALITIKA EU PROJEKATA'!$G$3:$G$586,'ANALITIKA EU PROJEKATA'!$A$3:$A$586,"=11",'ANALITIKA EU PROJEKATA'!$K$3:$K$586,"=426")</f>
        <v>0</v>
      </c>
      <c r="F48" s="138">
        <f>SUMIFS('Plan rashoda za unos u SAP'!$I$3:$I$525,'Plan rashoda za unos u SAP'!$C$3:$C$525,"=12",'Plan rashoda za unos u SAP'!$M$3:$M$525,"=426")+SUMIFS('ANALITIKA EU PROJEKATA'!$G$3:$G$586,'ANALITIKA EU PROJEKATA'!$A$3:$A$586,"=12",'ANALITIKA EU PROJEKATA'!$K$3:$K$586,"=426")</f>
        <v>0</v>
      </c>
      <c r="G48" s="138">
        <f>SUMIFS('Plan rashoda za unos u SAP'!$I$3:$I$525,'Plan rashoda za unos u SAP'!$C$3:$C$525,"=31",'Plan rashoda za unos u SAP'!$M$3:$M$525,"=426")+SUMIFS('ANALITIKA EU PROJEKATA'!$G$3:$G$586,'ANALITIKA EU PROJEKATA'!$A$3:$A$586,"=31",'ANALITIKA EU PROJEKATA'!$K$3:$K$586,"=426")</f>
        <v>105000</v>
      </c>
      <c r="H48" s="138">
        <f>SUMIFS('Plan rashoda za unos u SAP'!$I$3:$I$525,'Plan rashoda za unos u SAP'!$C$3:$C$525,"=41",'Plan rashoda za unos u SAP'!$M$3:$M$525,"=426")+SUMIFS('ANALITIKA EU PROJEKATA'!$G$3:$G$586,'ANALITIKA EU PROJEKATA'!$A$3:$A$586,"=41",'ANALITIKA EU PROJEKATA'!$K$3:$K$586,"=426")</f>
        <v>0</v>
      </c>
      <c r="I48" s="138">
        <f>SUMIFS('Plan rashoda za unos u SAP'!$I$3:$I$525,'Plan rashoda za unos u SAP'!$C$3:$C$525,"=43",'Plan rashoda za unos u SAP'!$M$3:$M$525,"=426")+SUMIFS('ANALITIKA EU PROJEKATA'!$G$3:$G$586,'ANALITIKA EU PROJEKATA'!$A$3:$A$586,"=43",'ANALITIKA EU PROJEKATA'!$K$3:$K$586,"=426")</f>
        <v>9866</v>
      </c>
      <c r="J48" s="138">
        <f>SUMIFS('Plan rashoda za unos u SAP'!$I$3:$I$525,'Plan rashoda za unos u SAP'!$C$3:$C$525,"=51",'Plan rashoda za unos u SAP'!$M$3:$M$525,"=426")+SUMIFS('ANALITIKA EU PROJEKATA'!$G$3:$G$586,'ANALITIKA EU PROJEKATA'!$A$3:$A$586,"=51",'ANALITIKA EU PROJEKATA'!$K$3:$K$586,"=426")</f>
        <v>0</v>
      </c>
      <c r="K48" s="138">
        <f>SUMIFS('Plan rashoda za unos u SAP'!$I$3:$I$525,'Plan rashoda za unos u SAP'!$C$3:$C$525,"=52",'Plan rashoda za unos u SAP'!$M$3:$M$525,"=426")+SUMIFS('ANALITIKA EU PROJEKATA'!$G$3:$G$586,'ANALITIKA EU PROJEKATA'!$A$3:$A$586,"=52",'ANALITIKA EU PROJEKATA'!$K$3:$K$586,"=426")</f>
        <v>0</v>
      </c>
      <c r="L48" s="138">
        <f>SUMIFS('Plan rashoda za unos u SAP'!$I$3:$I$525,'Plan rashoda za unos u SAP'!$C$3:$C$525,"=552",'Plan rashoda za unos u SAP'!$M$3:$M$525,"=426")+SUMIFS('ANALITIKA EU PROJEKATA'!$G$3:$G$586,'ANALITIKA EU PROJEKATA'!$A$3:$A$586,"=552",'ANALITIKA EU PROJEKATA'!$K$3:$K$586,"=426")</f>
        <v>0</v>
      </c>
      <c r="M48" s="138">
        <f>SUMIFS('Plan rashoda za unos u SAP'!$I$3:$I$525,'Plan rashoda za unos u SAP'!$C$3:$C$525,"=559",'Plan rashoda za unos u SAP'!$M$3:$M$525,"=426")+SUMIFS('ANALITIKA EU PROJEKATA'!$G$3:$G$586,'ANALITIKA EU PROJEKATA'!$A$3:$A$586,"=559",'ANALITIKA EU PROJEKATA'!$K$3:$K$586,"=426")</f>
        <v>0</v>
      </c>
      <c r="N48" s="138">
        <f>SUMIFS('Plan rashoda za unos u SAP'!$I$3:$I$525,'Plan rashoda za unos u SAP'!$C$3:$C$525,"=561",'Plan rashoda za unos u SAP'!$M$3:$M$525,"=426")+SUMIFS('ANALITIKA EU PROJEKATA'!$G$3:$G$586,'ANALITIKA EU PROJEKATA'!$A$3:$A$586,"=561",'ANALITIKA EU PROJEKATA'!$K$3:$K$586,"=426")</f>
        <v>0</v>
      </c>
      <c r="O48" s="138">
        <f>SUMIFS('Plan rashoda za unos u SAP'!$I$3:$I$525,'Plan rashoda za unos u SAP'!$C$3:$C$525,"=563",'Plan rashoda za unos u SAP'!$M$3:$M$525,"=426")+SUMIFS('ANALITIKA EU PROJEKATA'!$G$3:$G$586,'ANALITIKA EU PROJEKATA'!$A$3:$A$586,"=563",'ANALITIKA EU PROJEKATA'!$K$3:$K$586,"=426")</f>
        <v>0</v>
      </c>
      <c r="P48" s="138">
        <f>SUMIFS('Plan rashoda za unos u SAP'!$I$3:$I$525,'Plan rashoda za unos u SAP'!$C$3:$C$525,"=573",'Plan rashoda za unos u SAP'!$M$3:$M$525,"=426")+SUMIFS('ANALITIKA EU PROJEKATA'!$G$3:$G$586,'ANALITIKA EU PROJEKATA'!$A$3:$A$586,"=573",'ANALITIKA EU PROJEKATA'!$K$3:$K$586,"=426")</f>
        <v>0</v>
      </c>
      <c r="Q48" s="138">
        <f>SUMIFS('Plan rashoda za unos u SAP'!$I$3:$I$525,'Plan rashoda za unos u SAP'!$C$3:$C$525,"=575",'Plan rashoda za unos u SAP'!$M$3:$M$525,"=426")+SUMIFS('ANALITIKA EU PROJEKATA'!$G$3:$G$586,'ANALITIKA EU PROJEKATA'!$A$3:$A$586,"=575",'ANALITIKA EU PROJEKATA'!$K$3:$K$586,"=426")</f>
        <v>0</v>
      </c>
      <c r="R48" s="138">
        <f>SUMIFS('Plan rashoda za unos u SAP'!$I$3:$I$525,'Plan rashoda za unos u SAP'!$C$3:$C$525,"=576",'Plan rashoda za unos u SAP'!$M$3:$M$525,"=426")+SUMIFS('ANALITIKA EU PROJEKATA'!$G$3:$G$586,'ANALITIKA EU PROJEKATA'!$A$3:$A$586,"=576",'ANALITIKA EU PROJEKATA'!$K$3:$K$586,"=426")</f>
        <v>0</v>
      </c>
      <c r="S48" s="138">
        <f>SUMIFS('Plan rashoda za unos u SAP'!$I$3:$I$525,'Plan rashoda za unos u SAP'!$C$3:$C$525,"=581",'Plan rashoda za unos u SAP'!$M$3:$M$525,"=426")+SUMIFS('ANALITIKA EU PROJEKATA'!$G$3:$G$586,'ANALITIKA EU PROJEKATA'!$A$3:$A$586,"=581",'ANALITIKA EU PROJEKATA'!$K$3:$K$586,"=426")</f>
        <v>0</v>
      </c>
      <c r="T48" s="138">
        <f>SUMIFS('Plan rashoda za unos u SAP'!$I$3:$I$525,'Plan rashoda za unos u SAP'!$C$3:$C$525,"=61",'Plan rashoda za unos u SAP'!$M$3:$M$525,"=426")+SUMIFS('ANALITIKA EU PROJEKATA'!$G$3:$G$586,'ANALITIKA EU PROJEKATA'!$A$3:$A$586,"=61",'ANALITIKA EU PROJEKATA'!$K$3:$K$586,"=426")</f>
        <v>0</v>
      </c>
      <c r="U48" s="138">
        <f>SUMIFS('Plan rashoda za unos u SAP'!$I$3:$I$525,'Plan rashoda za unos u SAP'!$C$3:$C$525,"=63",'Plan rashoda za unos u SAP'!$M$3:$M$525,"=426")+SUMIFS('ANALITIKA EU PROJEKATA'!$G$3:$G$586,'ANALITIKA EU PROJEKATA'!$A$3:$A$586,"=63",'ANALITIKA EU PROJEKATA'!$K$3:$K$586,"=426")</f>
        <v>0</v>
      </c>
      <c r="V48" s="138">
        <f>SUMIFS('Plan rashoda za unos u SAP'!$I$3:$I$525,'Plan rashoda za unos u SAP'!$C$3:$C$525,"=71",'Plan rashoda za unos u SAP'!$M$3:$M$525,"=426")+SUMIFS('ANALITIKA EU PROJEKATA'!$G$3:$G$586,'ANALITIKA EU PROJEKATA'!$A$3:$A$586,"=71",'ANALITIKA EU PROJEKATA'!$K$3:$K$586,"=426")</f>
        <v>0</v>
      </c>
      <c r="W48" s="138">
        <f>SUMIFS('Plan rashoda za unos u SAP'!$I$3:$I$525,'Plan rashoda za unos u SAP'!$C$3:$C$525,"=81",'Plan rashoda za unos u SAP'!$M$3:$M$525,"=426")+SUMIFS('ANALITIKA EU PROJEKATA'!$G$3:$G$586,'ANALITIKA EU PROJEKATA'!$A$3:$A$586,"=81",'ANALITIKA EU PROJEKATA'!$K$3:$K$586,"=426")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336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337</v>
      </c>
      <c r="D50" s="14">
        <f t="shared" si="10"/>
        <v>0</v>
      </c>
      <c r="E50" s="138">
        <f>SUMIFS('Plan rashoda za unos u SAP'!$I$3:$I$525,'Plan rashoda za unos u SAP'!$C$3:$C$525,"=11",'Plan rashoda za unos u SAP'!$M$3:$M$525,"=431")+SUMIFS('ANALITIKA EU PROJEKATA'!$G$3:$G$586,'ANALITIKA EU PROJEKATA'!$A$3:$A$586,"=11",'ANALITIKA EU PROJEKATA'!$K$3:$K$586,"=431")</f>
        <v>0</v>
      </c>
      <c r="F50" s="138">
        <f>SUMIFS('Plan rashoda za unos u SAP'!$I$3:$I$525,'Plan rashoda za unos u SAP'!$C$3:$C$525,"=12",'Plan rashoda za unos u SAP'!$M$3:$M$525,"=431")+SUMIFS('ANALITIKA EU PROJEKATA'!$G$3:$G$586,'ANALITIKA EU PROJEKATA'!$A$3:$A$586,"=12",'ANALITIKA EU PROJEKATA'!$K$3:$K$586,"=431")</f>
        <v>0</v>
      </c>
      <c r="G50" s="138">
        <f>SUMIFS('Plan rashoda za unos u SAP'!$I$3:$I$525,'Plan rashoda za unos u SAP'!$C$3:$C$525,"=31",'Plan rashoda za unos u SAP'!$M$3:$M$525,"=431")+SUMIFS('ANALITIKA EU PROJEKATA'!$G$3:$G$586,'ANALITIKA EU PROJEKATA'!$A$3:$A$586,"=31",'ANALITIKA EU PROJEKATA'!$K$3:$K$586,"=431")</f>
        <v>0</v>
      </c>
      <c r="H50" s="138">
        <f>SUMIFS('Plan rashoda za unos u SAP'!$I$3:$I$525,'Plan rashoda za unos u SAP'!$C$3:$C$525,"=41",'Plan rashoda za unos u SAP'!$M$3:$M$525,"=431")+SUMIFS('ANALITIKA EU PROJEKATA'!$G$3:$G$586,'ANALITIKA EU PROJEKATA'!$A$3:$A$586,"=41",'ANALITIKA EU PROJEKATA'!$K$3:$K$586,"=431")</f>
        <v>0</v>
      </c>
      <c r="I50" s="138">
        <f>SUMIFS('Plan rashoda za unos u SAP'!$I$3:$I$525,'Plan rashoda za unos u SAP'!$C$3:$C$525,"=43",'Plan rashoda za unos u SAP'!$M$3:$M$525,"=431")+SUMIFS('ANALITIKA EU PROJEKATA'!$G$3:$G$586,'ANALITIKA EU PROJEKATA'!$A$3:$A$586,"=43",'ANALITIKA EU PROJEKATA'!$K$3:$K$586,"=431")</f>
        <v>0</v>
      </c>
      <c r="J50" s="138">
        <f>SUMIFS('Plan rashoda za unos u SAP'!$I$3:$I$525,'Plan rashoda za unos u SAP'!$C$3:$C$525,"=51",'Plan rashoda za unos u SAP'!$M$3:$M$525,"=431")+SUMIFS('ANALITIKA EU PROJEKATA'!$G$3:$G$586,'ANALITIKA EU PROJEKATA'!$A$3:$A$586,"=51",'ANALITIKA EU PROJEKATA'!$K$3:$K$586,"=431")</f>
        <v>0</v>
      </c>
      <c r="K50" s="138">
        <f>SUMIFS('Plan rashoda za unos u SAP'!$I$3:$I$525,'Plan rashoda za unos u SAP'!$C$3:$C$525,"=52",'Plan rashoda za unos u SAP'!$M$3:$M$525,"=431")+SUMIFS('ANALITIKA EU PROJEKATA'!$G$3:$G$586,'ANALITIKA EU PROJEKATA'!$A$3:$A$586,"=52",'ANALITIKA EU PROJEKATA'!$K$3:$K$586,"=431")</f>
        <v>0</v>
      </c>
      <c r="L50" s="138">
        <f>SUMIFS('Plan rashoda za unos u SAP'!$I$3:$I$525,'Plan rashoda za unos u SAP'!$C$3:$C$525,"=552",'Plan rashoda za unos u SAP'!$M$3:$M$525,"=431")+SUMIFS('ANALITIKA EU PROJEKATA'!$G$3:$G$586,'ANALITIKA EU PROJEKATA'!$A$3:$A$586,"=552",'ANALITIKA EU PROJEKATA'!$K$3:$K$586,"=431")</f>
        <v>0</v>
      </c>
      <c r="M50" s="138">
        <f>SUMIFS('Plan rashoda za unos u SAP'!$I$3:$I$525,'Plan rashoda za unos u SAP'!$C$3:$C$525,"=559",'Plan rashoda za unos u SAP'!$M$3:$M$525,"=431")+SUMIFS('ANALITIKA EU PROJEKATA'!$G$3:$G$586,'ANALITIKA EU PROJEKATA'!$A$3:$A$586,"=559",'ANALITIKA EU PROJEKATA'!$K$3:$K$586,"=431")</f>
        <v>0</v>
      </c>
      <c r="N50" s="138">
        <f>SUMIFS('Plan rashoda za unos u SAP'!$I$3:$I$525,'Plan rashoda za unos u SAP'!$C$3:$C$525,"=561",'Plan rashoda za unos u SAP'!$M$3:$M$525,"=431")+SUMIFS('ANALITIKA EU PROJEKATA'!$G$3:$G$586,'ANALITIKA EU PROJEKATA'!$A$3:$A$586,"=561",'ANALITIKA EU PROJEKATA'!$K$3:$K$586,"=431")</f>
        <v>0</v>
      </c>
      <c r="O50" s="138">
        <f>SUMIFS('Plan rashoda za unos u SAP'!$I$3:$I$525,'Plan rashoda za unos u SAP'!$C$3:$C$525,"=563",'Plan rashoda za unos u SAP'!$M$3:$M$525,"=431")+SUMIFS('ANALITIKA EU PROJEKATA'!$G$3:$G$586,'ANALITIKA EU PROJEKATA'!$A$3:$A$586,"=563",'ANALITIKA EU PROJEKATA'!$K$3:$K$586,"=431")</f>
        <v>0</v>
      </c>
      <c r="P50" s="138">
        <f>SUMIFS('Plan rashoda za unos u SAP'!$I$3:$I$525,'Plan rashoda za unos u SAP'!$C$3:$C$525,"=573",'Plan rashoda za unos u SAP'!$M$3:$M$525,"=431")+SUMIFS('ANALITIKA EU PROJEKATA'!$G$3:$G$586,'ANALITIKA EU PROJEKATA'!$A$3:$A$586,"=573",'ANALITIKA EU PROJEKATA'!$K$3:$K$586,"=431")</f>
        <v>0</v>
      </c>
      <c r="Q50" s="138">
        <f>SUMIFS('Plan rashoda za unos u SAP'!$I$3:$I$525,'Plan rashoda za unos u SAP'!$C$3:$C$525,"=575",'Plan rashoda za unos u SAP'!$M$3:$M$525,"=431")+SUMIFS('ANALITIKA EU PROJEKATA'!$G$3:$G$586,'ANALITIKA EU PROJEKATA'!$A$3:$A$586,"=575",'ANALITIKA EU PROJEKATA'!$K$3:$K$586,"=431")</f>
        <v>0</v>
      </c>
      <c r="R50" s="138">
        <f>SUMIFS('Plan rashoda za unos u SAP'!$I$3:$I$525,'Plan rashoda za unos u SAP'!$C$3:$C$525,"=576",'Plan rashoda za unos u SAP'!$M$3:$M$525,"=431")+SUMIFS('ANALITIKA EU PROJEKATA'!$G$3:$G$586,'ANALITIKA EU PROJEKATA'!$A$3:$A$586,"=576",'ANALITIKA EU PROJEKATA'!$K$3:$K$586,"=431")</f>
        <v>0</v>
      </c>
      <c r="S50" s="138">
        <f>SUMIFS('Plan rashoda za unos u SAP'!$I$3:$I$525,'Plan rashoda za unos u SAP'!$C$3:$C$525,"=581",'Plan rashoda za unos u SAP'!$M$3:$M$525,"=431")+SUMIFS('ANALITIKA EU PROJEKATA'!$G$3:$G$586,'ANALITIKA EU PROJEKATA'!$A$3:$A$586,"=581",'ANALITIKA EU PROJEKATA'!$K$3:$K$586,"=431")</f>
        <v>0</v>
      </c>
      <c r="T50" s="138">
        <f>SUMIFS('Plan rashoda za unos u SAP'!$I$3:$I$525,'Plan rashoda za unos u SAP'!$C$3:$C$525,"=61",'Plan rashoda za unos u SAP'!$M$3:$M$525,"=431")+SUMIFS('ANALITIKA EU PROJEKATA'!$G$3:$G$586,'ANALITIKA EU PROJEKATA'!$A$3:$A$586,"=61",'ANALITIKA EU PROJEKATA'!$K$3:$K$586,"=431")</f>
        <v>0</v>
      </c>
      <c r="U50" s="138">
        <f>SUMIFS('Plan rashoda za unos u SAP'!$I$3:$I$525,'Plan rashoda za unos u SAP'!$C$3:$C$525,"=63",'Plan rashoda za unos u SAP'!$M$3:$M$525,"=431")+SUMIFS('ANALITIKA EU PROJEKATA'!$G$3:$G$586,'ANALITIKA EU PROJEKATA'!$A$3:$A$586,"=63",'ANALITIKA EU PROJEKATA'!$K$3:$K$586,"=431")</f>
        <v>0</v>
      </c>
      <c r="V50" s="138">
        <f>SUMIFS('Plan rashoda za unos u SAP'!$I$3:$I$525,'Plan rashoda za unos u SAP'!$C$3:$C$525,"=71",'Plan rashoda za unos u SAP'!$M$3:$M$525,"=431")+SUMIFS('ANALITIKA EU PROJEKATA'!$G$3:$G$586,'ANALITIKA EU PROJEKATA'!$A$3:$A$586,"=71",'ANALITIKA EU PROJEKATA'!$K$3:$K$586,"=431")</f>
        <v>0</v>
      </c>
      <c r="W50" s="138">
        <f>SUMIFS('Plan rashoda za unos u SAP'!$I$3:$I$525,'Plan rashoda za unos u SAP'!$C$3:$C$525,"=81",'Plan rashoda za unos u SAP'!$M$3:$M$525,"=431")+SUMIFS('ANALITIKA EU PROJEKATA'!$G$3:$G$586,'ANALITIKA EU PROJEKATA'!$A$3:$A$586,"=81",'ANALITIKA EU PROJEKATA'!$K$3:$K$586,"=431")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337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338</v>
      </c>
      <c r="D52" s="14">
        <f t="shared" si="10"/>
        <v>0</v>
      </c>
      <c r="E52" s="138">
        <f>SUMIFS('Plan rashoda za unos u SAP'!$I$3:$I$525,'Plan rashoda za unos u SAP'!$C$3:$C$525,"=11",'Plan rashoda za unos u SAP'!$M$3:$M$525,"=441")+SUMIFS('ANALITIKA EU PROJEKATA'!$G$3:$G$586,'ANALITIKA EU PROJEKATA'!$A$3:$A$586,"=11",'ANALITIKA EU PROJEKATA'!$K$3:$K$586,"=441")</f>
        <v>0</v>
      </c>
      <c r="F52" s="138">
        <f>SUMIFS('Plan rashoda za unos u SAP'!$I$3:$I$525,'Plan rashoda za unos u SAP'!$C$3:$C$525,"=12",'Plan rashoda za unos u SAP'!$M$3:$M$525,"=441")+SUMIFS('ANALITIKA EU PROJEKATA'!$G$3:$G$586,'ANALITIKA EU PROJEKATA'!$A$3:$A$586,"=12",'ANALITIKA EU PROJEKATA'!$K$3:$K$586,"=441")</f>
        <v>0</v>
      </c>
      <c r="G52" s="138">
        <f>SUMIFS('Plan rashoda za unos u SAP'!$I$3:$I$525,'Plan rashoda za unos u SAP'!$C$3:$C$525,"=31",'Plan rashoda za unos u SAP'!$M$3:$M$525,"=441")+SUMIFS('ANALITIKA EU PROJEKATA'!$G$3:$G$586,'ANALITIKA EU PROJEKATA'!$A$3:$A$586,"=31",'ANALITIKA EU PROJEKATA'!$K$3:$K$586,"=441")</f>
        <v>0</v>
      </c>
      <c r="H52" s="138">
        <f>SUMIFS('Plan rashoda za unos u SAP'!$I$3:$I$525,'Plan rashoda za unos u SAP'!$C$3:$C$525,"=41",'Plan rashoda za unos u SAP'!$M$3:$M$525,"=441")+SUMIFS('ANALITIKA EU PROJEKATA'!$G$3:$G$586,'ANALITIKA EU PROJEKATA'!$A$3:$A$586,"=41",'ANALITIKA EU PROJEKATA'!$K$3:$K$586,"=441")</f>
        <v>0</v>
      </c>
      <c r="I52" s="138">
        <f>SUMIFS('Plan rashoda za unos u SAP'!$I$3:$I$525,'Plan rashoda za unos u SAP'!$C$3:$C$525,"=43",'Plan rashoda za unos u SAP'!$M$3:$M$525,"=441")+SUMIFS('ANALITIKA EU PROJEKATA'!$G$3:$G$586,'ANALITIKA EU PROJEKATA'!$A$3:$A$586,"=43",'ANALITIKA EU PROJEKATA'!$K$3:$K$586,"=441")</f>
        <v>0</v>
      </c>
      <c r="J52" s="138">
        <f>SUMIFS('Plan rashoda za unos u SAP'!$I$3:$I$525,'Plan rashoda za unos u SAP'!$C$3:$C$525,"=51",'Plan rashoda za unos u SAP'!$M$3:$M$525,"=441")+SUMIFS('ANALITIKA EU PROJEKATA'!$G$3:$G$586,'ANALITIKA EU PROJEKATA'!$A$3:$A$586,"=51",'ANALITIKA EU PROJEKATA'!$K$3:$K$586,"=441")</f>
        <v>0</v>
      </c>
      <c r="K52" s="138">
        <f>SUMIFS('Plan rashoda za unos u SAP'!$I$3:$I$525,'Plan rashoda za unos u SAP'!$C$3:$C$525,"=52",'Plan rashoda za unos u SAP'!$M$3:$M$525,"=441")+SUMIFS('ANALITIKA EU PROJEKATA'!$G$3:$G$586,'ANALITIKA EU PROJEKATA'!$A$3:$A$586,"=52",'ANALITIKA EU PROJEKATA'!$K$3:$K$586,"=441")</f>
        <v>0</v>
      </c>
      <c r="L52" s="138">
        <f>SUMIFS('Plan rashoda za unos u SAP'!$I$3:$I$525,'Plan rashoda za unos u SAP'!$C$3:$C$525,"=552",'Plan rashoda za unos u SAP'!$M$3:$M$525,"=441")+SUMIFS('ANALITIKA EU PROJEKATA'!$G$3:$G$586,'ANALITIKA EU PROJEKATA'!$A$3:$A$586,"=552",'ANALITIKA EU PROJEKATA'!$K$3:$K$586,"=441")</f>
        <v>0</v>
      </c>
      <c r="M52" s="138">
        <f>SUMIFS('Plan rashoda za unos u SAP'!$I$3:$I$525,'Plan rashoda za unos u SAP'!$C$3:$C$525,"=559",'Plan rashoda za unos u SAP'!$M$3:$M$525,"=441")+SUMIFS('ANALITIKA EU PROJEKATA'!$G$3:$G$586,'ANALITIKA EU PROJEKATA'!$A$3:$A$586,"=559",'ANALITIKA EU PROJEKATA'!$K$3:$K$586,"=441")</f>
        <v>0</v>
      </c>
      <c r="N52" s="138">
        <f>SUMIFS('Plan rashoda za unos u SAP'!$I$3:$I$525,'Plan rashoda za unos u SAP'!$C$3:$C$525,"=561",'Plan rashoda za unos u SAP'!$M$3:$M$525,"=441")+SUMIFS('ANALITIKA EU PROJEKATA'!$G$3:$G$586,'ANALITIKA EU PROJEKATA'!$A$3:$A$586,"=561",'ANALITIKA EU PROJEKATA'!$K$3:$K$586,"=441")</f>
        <v>0</v>
      </c>
      <c r="O52" s="138">
        <f>SUMIFS('Plan rashoda za unos u SAP'!$I$3:$I$525,'Plan rashoda za unos u SAP'!$C$3:$C$525,"=563",'Plan rashoda za unos u SAP'!$M$3:$M$525,"=441")+SUMIFS('ANALITIKA EU PROJEKATA'!$G$3:$G$586,'ANALITIKA EU PROJEKATA'!$A$3:$A$586,"=563",'ANALITIKA EU PROJEKATA'!$K$3:$K$586,"=441")</f>
        <v>0</v>
      </c>
      <c r="P52" s="138">
        <f>SUMIFS('Plan rashoda za unos u SAP'!$I$3:$I$525,'Plan rashoda za unos u SAP'!$C$3:$C$525,"=573",'Plan rashoda za unos u SAP'!$M$3:$M$525,"=441")+SUMIFS('ANALITIKA EU PROJEKATA'!$G$3:$G$586,'ANALITIKA EU PROJEKATA'!$A$3:$A$586,"=573",'ANALITIKA EU PROJEKATA'!$K$3:$K$586,"=441")</f>
        <v>0</v>
      </c>
      <c r="Q52" s="138">
        <f>SUMIFS('Plan rashoda za unos u SAP'!$I$3:$I$525,'Plan rashoda za unos u SAP'!$C$3:$C$525,"=575",'Plan rashoda za unos u SAP'!$M$3:$M$525,"=441")+SUMIFS('ANALITIKA EU PROJEKATA'!$G$3:$G$586,'ANALITIKA EU PROJEKATA'!$A$3:$A$586,"=575",'ANALITIKA EU PROJEKATA'!$K$3:$K$586,"=441")</f>
        <v>0</v>
      </c>
      <c r="R52" s="138">
        <f>SUMIFS('Plan rashoda za unos u SAP'!$I$3:$I$525,'Plan rashoda za unos u SAP'!$C$3:$C$525,"=576",'Plan rashoda za unos u SAP'!$M$3:$M$525,"=441")+SUMIFS('ANALITIKA EU PROJEKATA'!$G$3:$G$586,'ANALITIKA EU PROJEKATA'!$A$3:$A$586,"=576",'ANALITIKA EU PROJEKATA'!$K$3:$K$586,"=441")</f>
        <v>0</v>
      </c>
      <c r="S52" s="138">
        <f>SUMIFS('Plan rashoda za unos u SAP'!$I$3:$I$525,'Plan rashoda za unos u SAP'!$C$3:$C$525,"=581",'Plan rashoda za unos u SAP'!$M$3:$M$525,"=441")+SUMIFS('ANALITIKA EU PROJEKATA'!$G$3:$G$586,'ANALITIKA EU PROJEKATA'!$A$3:$A$586,"=581",'ANALITIKA EU PROJEKATA'!$K$3:$K$586,"=441")</f>
        <v>0</v>
      </c>
      <c r="T52" s="138">
        <f>SUMIFS('Plan rashoda za unos u SAP'!$I$3:$I$525,'Plan rashoda za unos u SAP'!$C$3:$C$525,"=61",'Plan rashoda za unos u SAP'!$M$3:$M$525,"=441")+SUMIFS('ANALITIKA EU PROJEKATA'!$G$3:$G$586,'ANALITIKA EU PROJEKATA'!$A$3:$A$586,"=61",'ANALITIKA EU PROJEKATA'!$K$3:$K$586,"=441")</f>
        <v>0</v>
      </c>
      <c r="U52" s="138">
        <f>SUMIFS('Plan rashoda za unos u SAP'!$I$3:$I$525,'Plan rashoda za unos u SAP'!$C$3:$C$525,"=63",'Plan rashoda za unos u SAP'!$M$3:$M$525,"=441")+SUMIFS('ANALITIKA EU PROJEKATA'!$G$3:$G$586,'ANALITIKA EU PROJEKATA'!$A$3:$A$586,"=63",'ANALITIKA EU PROJEKATA'!$K$3:$K$586,"=441")</f>
        <v>0</v>
      </c>
      <c r="V52" s="138">
        <f>SUMIFS('Plan rashoda za unos u SAP'!$I$3:$I$525,'Plan rashoda za unos u SAP'!$C$3:$C$525,"=71",'Plan rashoda za unos u SAP'!$M$3:$M$525,"=441")+SUMIFS('ANALITIKA EU PROJEKATA'!$G$3:$G$586,'ANALITIKA EU PROJEKATA'!$A$3:$A$586,"=71",'ANALITIKA EU PROJEKATA'!$K$3:$K$586,"=441")</f>
        <v>0</v>
      </c>
      <c r="W52" s="138">
        <f>SUMIFS('Plan rashoda za unos u SAP'!$I$3:$I$525,'Plan rashoda za unos u SAP'!$C$3:$C$525,"=81",'Plan rashoda za unos u SAP'!$M$3:$M$525,"=441")+SUMIFS('ANALITIKA EU PROJEKATA'!$G$3:$G$586,'ANALITIKA EU PROJEKATA'!$A$3:$A$586,"=81",'ANALITIKA EU PROJEKATA'!$K$3:$K$586,"=441")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SAP'!$I$3:$I$525,'Plan rashoda za unos u SAP'!$C$3:$C$525,"=11",'Plan rashoda za unos u SAP'!$M$3:$M$525,"=451")+SUMIFS('ANALITIKA EU PROJEKATA'!$G$3:$G$586,'ANALITIKA EU PROJEKATA'!$A$3:$A$586,"=11",'ANALITIKA EU PROJEKATA'!$K$3:$K$586,"=451")</f>
        <v>0</v>
      </c>
      <c r="F54" s="138">
        <f>SUMIFS('Plan rashoda za unos u SAP'!$I$3:$I$525,'Plan rashoda za unos u SAP'!$C$3:$C$525,"=12",'Plan rashoda za unos u SAP'!$M$3:$M$525,"=451")+SUMIFS('ANALITIKA EU PROJEKATA'!$G$3:$G$586,'ANALITIKA EU PROJEKATA'!$A$3:$A$586,"=12",'ANALITIKA EU PROJEKATA'!$K$3:$K$586,"=451")</f>
        <v>0</v>
      </c>
      <c r="G54" s="138">
        <f>SUMIFS('Plan rashoda za unos u SAP'!$I$3:$I$525,'Plan rashoda za unos u SAP'!$C$3:$C$525,"=31",'Plan rashoda za unos u SAP'!$M$3:$M$525,"=451")+SUMIFS('ANALITIKA EU PROJEKATA'!$G$3:$G$586,'ANALITIKA EU PROJEKATA'!$A$3:$A$586,"=31",'ANALITIKA EU PROJEKATA'!$K$3:$K$586,"=451")</f>
        <v>0</v>
      </c>
      <c r="H54" s="138">
        <f>SUMIFS('Plan rashoda za unos u SAP'!$I$3:$I$525,'Plan rashoda za unos u SAP'!$C$3:$C$525,"=41",'Plan rashoda za unos u SAP'!$M$3:$M$525,"=451")+SUMIFS('ANALITIKA EU PROJEKATA'!$G$3:$G$586,'ANALITIKA EU PROJEKATA'!$A$3:$A$586,"=41",'ANALITIKA EU PROJEKATA'!$K$3:$K$586,"=451")</f>
        <v>0</v>
      </c>
      <c r="I54" s="138">
        <f>SUMIFS('Plan rashoda za unos u SAP'!$I$3:$I$525,'Plan rashoda za unos u SAP'!$C$3:$C$525,"=43",'Plan rashoda za unos u SAP'!$M$3:$M$525,"=451")+SUMIFS('ANALITIKA EU PROJEKATA'!$G$3:$G$586,'ANALITIKA EU PROJEKATA'!$A$3:$A$586,"=43",'ANALITIKA EU PROJEKATA'!$K$3:$K$586,"=451")</f>
        <v>0</v>
      </c>
      <c r="J54" s="138">
        <f>SUMIFS('Plan rashoda za unos u SAP'!$I$3:$I$525,'Plan rashoda za unos u SAP'!$C$3:$C$525,"=51",'Plan rashoda za unos u SAP'!$M$3:$M$525,"=451")+SUMIFS('ANALITIKA EU PROJEKATA'!$G$3:$G$586,'ANALITIKA EU PROJEKATA'!$A$3:$A$586,"=51",'ANALITIKA EU PROJEKATA'!$K$3:$K$586,"=451")</f>
        <v>0</v>
      </c>
      <c r="K54" s="138">
        <f>SUMIFS('Plan rashoda za unos u SAP'!$I$3:$I$525,'Plan rashoda za unos u SAP'!$C$3:$C$525,"=52",'Plan rashoda za unos u SAP'!$M$3:$M$525,"=451")+SUMIFS('ANALITIKA EU PROJEKATA'!$G$3:$G$586,'ANALITIKA EU PROJEKATA'!$A$3:$A$586,"=52",'ANALITIKA EU PROJEKATA'!$K$3:$K$586,"=451")</f>
        <v>0</v>
      </c>
      <c r="L54" s="138">
        <f>SUMIFS('Plan rashoda za unos u SAP'!$I$3:$I$525,'Plan rashoda za unos u SAP'!$C$3:$C$525,"=552",'Plan rashoda za unos u SAP'!$M$3:$M$525,"=451")+SUMIFS('ANALITIKA EU PROJEKATA'!$G$3:$G$586,'ANALITIKA EU PROJEKATA'!$A$3:$A$586,"=552",'ANALITIKA EU PROJEKATA'!$K$3:$K$586,"=451")</f>
        <v>0</v>
      </c>
      <c r="M54" s="138">
        <f>SUMIFS('Plan rashoda za unos u SAP'!$I$3:$I$525,'Plan rashoda za unos u SAP'!$C$3:$C$525,"=559",'Plan rashoda za unos u SAP'!$M$3:$M$525,"=451")+SUMIFS('ANALITIKA EU PROJEKATA'!$G$3:$G$586,'ANALITIKA EU PROJEKATA'!$A$3:$A$586,"=559",'ANALITIKA EU PROJEKATA'!$K$3:$K$586,"=451")</f>
        <v>0</v>
      </c>
      <c r="N54" s="138">
        <f>SUMIFS('Plan rashoda za unos u SAP'!$I$3:$I$525,'Plan rashoda za unos u SAP'!$C$3:$C$525,"=561",'Plan rashoda za unos u SAP'!$M$3:$M$525,"=451")+SUMIFS('ANALITIKA EU PROJEKATA'!$G$3:$G$586,'ANALITIKA EU PROJEKATA'!$A$3:$A$586,"=561",'ANALITIKA EU PROJEKATA'!$K$3:$K$586,"=451")</f>
        <v>0</v>
      </c>
      <c r="O54" s="138">
        <f>SUMIFS('Plan rashoda za unos u SAP'!$I$3:$I$525,'Plan rashoda za unos u SAP'!$C$3:$C$525,"=563",'Plan rashoda za unos u SAP'!$M$3:$M$525,"=451")+SUMIFS('ANALITIKA EU PROJEKATA'!$G$3:$G$586,'ANALITIKA EU PROJEKATA'!$A$3:$A$586,"=563",'ANALITIKA EU PROJEKATA'!$K$3:$K$586,"=451")</f>
        <v>0</v>
      </c>
      <c r="P54" s="138">
        <f>SUMIFS('Plan rashoda za unos u SAP'!$I$3:$I$525,'Plan rashoda za unos u SAP'!$C$3:$C$525,"=573",'Plan rashoda za unos u SAP'!$M$3:$M$525,"=451")+SUMIFS('ANALITIKA EU PROJEKATA'!$G$3:$G$586,'ANALITIKA EU PROJEKATA'!$A$3:$A$586,"=573",'ANALITIKA EU PROJEKATA'!$K$3:$K$586,"=451")</f>
        <v>0</v>
      </c>
      <c r="Q54" s="138">
        <f>SUMIFS('Plan rashoda za unos u SAP'!$I$3:$I$525,'Plan rashoda za unos u SAP'!$C$3:$C$525,"=575",'Plan rashoda za unos u SAP'!$M$3:$M$525,"=451")+SUMIFS('ANALITIKA EU PROJEKATA'!$G$3:$G$586,'ANALITIKA EU PROJEKATA'!$A$3:$A$586,"=575",'ANALITIKA EU PROJEKATA'!$K$3:$K$586,"=451")</f>
        <v>0</v>
      </c>
      <c r="R54" s="138">
        <f>SUMIFS('Plan rashoda za unos u SAP'!$I$3:$I$525,'Plan rashoda za unos u SAP'!$C$3:$C$525,"=576",'Plan rashoda za unos u SAP'!$M$3:$M$525,"=451")+SUMIFS('ANALITIKA EU PROJEKATA'!$G$3:$G$586,'ANALITIKA EU PROJEKATA'!$A$3:$A$586,"=576",'ANALITIKA EU PROJEKATA'!$K$3:$K$586,"=451")</f>
        <v>0</v>
      </c>
      <c r="S54" s="138">
        <f>SUMIFS('Plan rashoda za unos u SAP'!$I$3:$I$525,'Plan rashoda za unos u SAP'!$C$3:$C$525,"=581",'Plan rashoda za unos u SAP'!$M$3:$M$525,"=451")+SUMIFS('ANALITIKA EU PROJEKATA'!$G$3:$G$586,'ANALITIKA EU PROJEKATA'!$A$3:$A$586,"=581",'ANALITIKA EU PROJEKATA'!$K$3:$K$586,"=451")</f>
        <v>0</v>
      </c>
      <c r="T54" s="138">
        <f>SUMIFS('Plan rashoda za unos u SAP'!$I$3:$I$525,'Plan rashoda za unos u SAP'!$C$3:$C$525,"=61",'Plan rashoda za unos u SAP'!$M$3:$M$525,"=451")+SUMIFS('ANALITIKA EU PROJEKATA'!$G$3:$G$586,'ANALITIKA EU PROJEKATA'!$A$3:$A$586,"=61",'ANALITIKA EU PROJEKATA'!$K$3:$K$586,"=451")</f>
        <v>0</v>
      </c>
      <c r="U54" s="138">
        <f>SUMIFS('Plan rashoda za unos u SAP'!$I$3:$I$525,'Plan rashoda za unos u SAP'!$C$3:$C$525,"=63",'Plan rashoda za unos u SAP'!$M$3:$M$525,"=451")+SUMIFS('ANALITIKA EU PROJEKATA'!$G$3:$G$586,'ANALITIKA EU PROJEKATA'!$A$3:$A$586,"=63",'ANALITIKA EU PROJEKATA'!$K$3:$K$586,"=451")</f>
        <v>0</v>
      </c>
      <c r="V54" s="138">
        <f>SUMIFS('Plan rashoda za unos u SAP'!$I$3:$I$525,'Plan rashoda za unos u SAP'!$C$3:$C$525,"=71",'Plan rashoda za unos u SAP'!$M$3:$M$525,"=451")+SUMIFS('ANALITIKA EU PROJEKATA'!$G$3:$G$586,'ANALITIKA EU PROJEKATA'!$A$3:$A$586,"=71",'ANALITIKA EU PROJEKATA'!$K$3:$K$586,"=451")</f>
        <v>0</v>
      </c>
      <c r="W54" s="138">
        <f>SUMIFS('Plan rashoda za unos u SAP'!$I$3:$I$525,'Plan rashoda za unos u SAP'!$C$3:$C$525,"=81",'Plan rashoda za unos u SAP'!$M$3:$M$525,"=451")+SUMIFS('ANALITIKA EU PROJEKATA'!$G$3:$G$586,'ANALITIKA EU PROJEKATA'!$A$3:$A$586,"=81",'ANALITIKA EU PROJEKATA'!$K$3:$K$586,"=451")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SAP'!$I$3:$I$525,'Plan rashoda za unos u SAP'!$C$3:$C$525,"=11",'Plan rashoda za unos u SAP'!$M$3:$M$525,"=452")+SUMIFS('ANALITIKA EU PROJEKATA'!$G$3:$G$586,'ANALITIKA EU PROJEKATA'!$A$3:$A$586,"=11",'ANALITIKA EU PROJEKATA'!$K$3:$K$586,"=452")</f>
        <v>0</v>
      </c>
      <c r="F55" s="138">
        <f>SUMIFS('Plan rashoda za unos u SAP'!$I$3:$I$525,'Plan rashoda za unos u SAP'!$C$3:$C$525,"=12",'Plan rashoda za unos u SAP'!$M$3:$M$525,"=452")+SUMIFS('ANALITIKA EU PROJEKATA'!$G$3:$G$586,'ANALITIKA EU PROJEKATA'!$A$3:$A$586,"=12",'ANALITIKA EU PROJEKATA'!$K$3:$K$586,"=452")</f>
        <v>0</v>
      </c>
      <c r="G55" s="138">
        <f>SUMIFS('Plan rashoda za unos u SAP'!$I$3:$I$525,'Plan rashoda za unos u SAP'!$C$3:$C$525,"=31",'Plan rashoda za unos u SAP'!$M$3:$M$525,"=452")+SUMIFS('ANALITIKA EU PROJEKATA'!$G$3:$G$586,'ANALITIKA EU PROJEKATA'!$A$3:$A$586,"=31",'ANALITIKA EU PROJEKATA'!$K$3:$K$586,"=452")</f>
        <v>0</v>
      </c>
      <c r="H55" s="138">
        <f>SUMIFS('Plan rashoda za unos u SAP'!$I$3:$I$525,'Plan rashoda za unos u SAP'!$C$3:$C$525,"=41",'Plan rashoda za unos u SAP'!$M$3:$M$525,"=452")+SUMIFS('ANALITIKA EU PROJEKATA'!$G$3:$G$586,'ANALITIKA EU PROJEKATA'!$A$3:$A$586,"=41",'ANALITIKA EU PROJEKATA'!$K$3:$K$586,"=452")</f>
        <v>0</v>
      </c>
      <c r="I55" s="138">
        <f>SUMIFS('Plan rashoda za unos u SAP'!$I$3:$I$525,'Plan rashoda za unos u SAP'!$C$3:$C$525,"=43",'Plan rashoda za unos u SAP'!$M$3:$M$525,"=452")+SUMIFS('ANALITIKA EU PROJEKATA'!$G$3:$G$586,'ANALITIKA EU PROJEKATA'!$A$3:$A$586,"=43",'ANALITIKA EU PROJEKATA'!$K$3:$K$586,"=452")</f>
        <v>0</v>
      </c>
      <c r="J55" s="138">
        <f>SUMIFS('Plan rashoda za unos u SAP'!$I$3:$I$525,'Plan rashoda za unos u SAP'!$C$3:$C$525,"=51",'Plan rashoda za unos u SAP'!$M$3:$M$525,"=452")+SUMIFS('ANALITIKA EU PROJEKATA'!$G$3:$G$586,'ANALITIKA EU PROJEKATA'!$A$3:$A$586,"=51",'ANALITIKA EU PROJEKATA'!$K$3:$K$586,"=452")</f>
        <v>0</v>
      </c>
      <c r="K55" s="138">
        <f>SUMIFS('Plan rashoda za unos u SAP'!$I$3:$I$525,'Plan rashoda za unos u SAP'!$C$3:$C$525,"=52",'Plan rashoda za unos u SAP'!$M$3:$M$525,"=452")+SUMIFS('ANALITIKA EU PROJEKATA'!$G$3:$G$586,'ANALITIKA EU PROJEKATA'!$A$3:$A$586,"=52",'ANALITIKA EU PROJEKATA'!$K$3:$K$586,"=452")</f>
        <v>0</v>
      </c>
      <c r="L55" s="138">
        <f>SUMIFS('Plan rashoda za unos u SAP'!$I$3:$I$525,'Plan rashoda za unos u SAP'!$C$3:$C$525,"=552",'Plan rashoda za unos u SAP'!$M$3:$M$525,"=452")+SUMIFS('ANALITIKA EU PROJEKATA'!$G$3:$G$586,'ANALITIKA EU PROJEKATA'!$A$3:$A$586,"=552",'ANALITIKA EU PROJEKATA'!$K$3:$K$586,"=452")</f>
        <v>0</v>
      </c>
      <c r="M55" s="138">
        <f>SUMIFS('Plan rashoda za unos u SAP'!$I$3:$I$525,'Plan rashoda za unos u SAP'!$C$3:$C$525,"=559",'Plan rashoda za unos u SAP'!$M$3:$M$525,"=452")+SUMIFS('ANALITIKA EU PROJEKATA'!$G$3:$G$586,'ANALITIKA EU PROJEKATA'!$A$3:$A$586,"=559",'ANALITIKA EU PROJEKATA'!$K$3:$K$586,"=452")</f>
        <v>0</v>
      </c>
      <c r="N55" s="138">
        <f>SUMIFS('Plan rashoda za unos u SAP'!$I$3:$I$525,'Plan rashoda za unos u SAP'!$C$3:$C$525,"=561",'Plan rashoda za unos u SAP'!$M$3:$M$525,"=452")+SUMIFS('ANALITIKA EU PROJEKATA'!$G$3:$G$586,'ANALITIKA EU PROJEKATA'!$A$3:$A$586,"=561",'ANALITIKA EU PROJEKATA'!$K$3:$K$586,"=452")</f>
        <v>0</v>
      </c>
      <c r="O55" s="138">
        <f>SUMIFS('Plan rashoda za unos u SAP'!$I$3:$I$525,'Plan rashoda za unos u SAP'!$C$3:$C$525,"=563",'Plan rashoda za unos u SAP'!$M$3:$M$525,"=452")+SUMIFS('ANALITIKA EU PROJEKATA'!$G$3:$G$586,'ANALITIKA EU PROJEKATA'!$A$3:$A$586,"=563",'ANALITIKA EU PROJEKATA'!$K$3:$K$586,"=452")</f>
        <v>0</v>
      </c>
      <c r="P55" s="138">
        <f>SUMIFS('Plan rashoda za unos u SAP'!$I$3:$I$525,'Plan rashoda za unos u SAP'!$C$3:$C$525,"=573",'Plan rashoda za unos u SAP'!$M$3:$M$525,"=452")+SUMIFS('ANALITIKA EU PROJEKATA'!$G$3:$G$586,'ANALITIKA EU PROJEKATA'!$A$3:$A$586,"=573",'ANALITIKA EU PROJEKATA'!$K$3:$K$586,"=452")</f>
        <v>0</v>
      </c>
      <c r="Q55" s="138">
        <f>SUMIFS('Plan rashoda za unos u SAP'!$I$3:$I$525,'Plan rashoda za unos u SAP'!$C$3:$C$525,"=575",'Plan rashoda za unos u SAP'!$M$3:$M$525,"=452")+SUMIFS('ANALITIKA EU PROJEKATA'!$G$3:$G$586,'ANALITIKA EU PROJEKATA'!$A$3:$A$586,"=575",'ANALITIKA EU PROJEKATA'!$K$3:$K$586,"=452")</f>
        <v>0</v>
      </c>
      <c r="R55" s="138">
        <f>SUMIFS('Plan rashoda za unos u SAP'!$I$3:$I$525,'Plan rashoda za unos u SAP'!$C$3:$C$525,"=576",'Plan rashoda za unos u SAP'!$M$3:$M$525,"=452")+SUMIFS('ANALITIKA EU PROJEKATA'!$G$3:$G$586,'ANALITIKA EU PROJEKATA'!$A$3:$A$586,"=576",'ANALITIKA EU PROJEKATA'!$K$3:$K$586,"=452")</f>
        <v>0</v>
      </c>
      <c r="S55" s="138">
        <f>SUMIFS('Plan rashoda za unos u SAP'!$I$3:$I$525,'Plan rashoda za unos u SAP'!$C$3:$C$525,"=581",'Plan rashoda za unos u SAP'!$M$3:$M$525,"=452")+SUMIFS('ANALITIKA EU PROJEKATA'!$G$3:$G$586,'ANALITIKA EU PROJEKATA'!$A$3:$A$586,"=581",'ANALITIKA EU PROJEKATA'!$K$3:$K$586,"=452")</f>
        <v>0</v>
      </c>
      <c r="T55" s="138">
        <f>SUMIFS('Plan rashoda za unos u SAP'!$I$3:$I$525,'Plan rashoda za unos u SAP'!$C$3:$C$525,"=61",'Plan rashoda za unos u SAP'!$M$3:$M$525,"=452")+SUMIFS('ANALITIKA EU PROJEKATA'!$G$3:$G$586,'ANALITIKA EU PROJEKATA'!$A$3:$A$586,"=61",'ANALITIKA EU PROJEKATA'!$K$3:$K$586,"=452")</f>
        <v>0</v>
      </c>
      <c r="U55" s="138">
        <f>SUMIFS('Plan rashoda za unos u SAP'!$I$3:$I$525,'Plan rashoda za unos u SAP'!$C$3:$C$525,"=63",'Plan rashoda za unos u SAP'!$M$3:$M$525,"=452")+SUMIFS('ANALITIKA EU PROJEKATA'!$G$3:$G$586,'ANALITIKA EU PROJEKATA'!$A$3:$A$586,"=63",'ANALITIKA EU PROJEKATA'!$K$3:$K$586,"=452")</f>
        <v>0</v>
      </c>
      <c r="V55" s="138">
        <f>SUMIFS('Plan rashoda za unos u SAP'!$I$3:$I$525,'Plan rashoda za unos u SAP'!$C$3:$C$525,"=71",'Plan rashoda za unos u SAP'!$M$3:$M$525,"=452")+SUMIFS('ANALITIKA EU PROJEKATA'!$G$3:$G$586,'ANALITIKA EU PROJEKATA'!$A$3:$A$586,"=71",'ANALITIKA EU PROJEKATA'!$K$3:$K$586,"=452")</f>
        <v>0</v>
      </c>
      <c r="W55" s="138">
        <f>SUMIFS('Plan rashoda za unos u SAP'!$I$3:$I$525,'Plan rashoda za unos u SAP'!$C$3:$C$525,"=81",'Plan rashoda za unos u SAP'!$M$3:$M$525,"=452")+SUMIFS('ANALITIKA EU PROJEKATA'!$G$3:$G$586,'ANALITIKA EU PROJEKATA'!$A$3:$A$586,"=81",'ANALITIKA EU PROJEKATA'!$K$3:$K$586,"=452")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SAP'!$I$3:$I$525,'Plan rashoda za unos u SAP'!$C$3:$C$525,"=11",'Plan rashoda za unos u SAP'!$M$3:$M$525,"=453")+SUMIFS('ANALITIKA EU PROJEKATA'!$G$3:$G$586,'ANALITIKA EU PROJEKATA'!$A$3:$A$586,"=11",'ANALITIKA EU PROJEKATA'!$K$3:$K$586,"=453")</f>
        <v>0</v>
      </c>
      <c r="F56" s="138">
        <f>SUMIFS('Plan rashoda za unos u SAP'!$I$3:$I$525,'Plan rashoda za unos u SAP'!$C$3:$C$525,"=12",'Plan rashoda za unos u SAP'!$M$3:$M$525,"=453")+SUMIFS('ANALITIKA EU PROJEKATA'!$G$3:$G$586,'ANALITIKA EU PROJEKATA'!$A$3:$A$586,"=12",'ANALITIKA EU PROJEKATA'!$K$3:$K$586,"=453")</f>
        <v>0</v>
      </c>
      <c r="G56" s="138">
        <f>SUMIFS('Plan rashoda za unos u SAP'!$I$3:$I$525,'Plan rashoda za unos u SAP'!$C$3:$C$525,"=31",'Plan rashoda za unos u SAP'!$M$3:$M$525,"=453")+SUMIFS('ANALITIKA EU PROJEKATA'!$G$3:$G$586,'ANALITIKA EU PROJEKATA'!$A$3:$A$586,"=31",'ANALITIKA EU PROJEKATA'!$K$3:$K$586,"=453")</f>
        <v>0</v>
      </c>
      <c r="H56" s="138">
        <f>SUMIFS('Plan rashoda za unos u SAP'!$I$3:$I$525,'Plan rashoda za unos u SAP'!$C$3:$C$525,"=41",'Plan rashoda za unos u SAP'!$M$3:$M$525,"=453")+SUMIFS('ANALITIKA EU PROJEKATA'!$G$3:$G$586,'ANALITIKA EU PROJEKATA'!$A$3:$A$586,"=41",'ANALITIKA EU PROJEKATA'!$K$3:$K$586,"=453")</f>
        <v>0</v>
      </c>
      <c r="I56" s="138">
        <f>SUMIFS('Plan rashoda za unos u SAP'!$I$3:$I$525,'Plan rashoda za unos u SAP'!$C$3:$C$525,"=43",'Plan rashoda za unos u SAP'!$M$3:$M$525,"=453")+SUMIFS('ANALITIKA EU PROJEKATA'!$G$3:$G$586,'ANALITIKA EU PROJEKATA'!$A$3:$A$586,"=43",'ANALITIKA EU PROJEKATA'!$K$3:$K$586,"=453")</f>
        <v>0</v>
      </c>
      <c r="J56" s="138">
        <f>SUMIFS('Plan rashoda za unos u SAP'!$I$3:$I$525,'Plan rashoda za unos u SAP'!$C$3:$C$525,"=51",'Plan rashoda za unos u SAP'!$M$3:$M$525,"=453")+SUMIFS('ANALITIKA EU PROJEKATA'!$G$3:$G$586,'ANALITIKA EU PROJEKATA'!$A$3:$A$586,"=51",'ANALITIKA EU PROJEKATA'!$K$3:$K$586,"=453")</f>
        <v>0</v>
      </c>
      <c r="K56" s="138">
        <f>SUMIFS('Plan rashoda za unos u SAP'!$I$3:$I$525,'Plan rashoda za unos u SAP'!$C$3:$C$525,"=52",'Plan rashoda za unos u SAP'!$M$3:$M$525,"=453")+SUMIFS('ANALITIKA EU PROJEKATA'!$G$3:$G$586,'ANALITIKA EU PROJEKATA'!$A$3:$A$586,"=52",'ANALITIKA EU PROJEKATA'!$K$3:$K$586,"=453")</f>
        <v>0</v>
      </c>
      <c r="L56" s="138">
        <f>SUMIFS('Plan rashoda za unos u SAP'!$I$3:$I$525,'Plan rashoda za unos u SAP'!$C$3:$C$525,"=552",'Plan rashoda za unos u SAP'!$M$3:$M$525,"=453")+SUMIFS('ANALITIKA EU PROJEKATA'!$G$3:$G$586,'ANALITIKA EU PROJEKATA'!$A$3:$A$586,"=552",'ANALITIKA EU PROJEKATA'!$K$3:$K$586,"=453")</f>
        <v>0</v>
      </c>
      <c r="M56" s="138">
        <f>SUMIFS('Plan rashoda za unos u SAP'!$I$3:$I$525,'Plan rashoda za unos u SAP'!$C$3:$C$525,"=559",'Plan rashoda za unos u SAP'!$M$3:$M$525,"=453")+SUMIFS('ANALITIKA EU PROJEKATA'!$G$3:$G$586,'ANALITIKA EU PROJEKATA'!$A$3:$A$586,"=559",'ANALITIKA EU PROJEKATA'!$K$3:$K$586,"=453")</f>
        <v>0</v>
      </c>
      <c r="N56" s="138">
        <f>SUMIFS('Plan rashoda za unos u SAP'!$I$3:$I$525,'Plan rashoda za unos u SAP'!$C$3:$C$525,"=561",'Plan rashoda za unos u SAP'!$M$3:$M$525,"=453")+SUMIFS('ANALITIKA EU PROJEKATA'!$G$3:$G$586,'ANALITIKA EU PROJEKATA'!$A$3:$A$586,"=561",'ANALITIKA EU PROJEKATA'!$K$3:$K$586,"=453")</f>
        <v>0</v>
      </c>
      <c r="O56" s="138">
        <f>SUMIFS('Plan rashoda za unos u SAP'!$I$3:$I$525,'Plan rashoda za unos u SAP'!$C$3:$C$525,"=563",'Plan rashoda za unos u SAP'!$M$3:$M$525,"=453")+SUMIFS('ANALITIKA EU PROJEKATA'!$G$3:$G$586,'ANALITIKA EU PROJEKATA'!$A$3:$A$586,"=563",'ANALITIKA EU PROJEKATA'!$K$3:$K$586,"=453")</f>
        <v>0</v>
      </c>
      <c r="P56" s="138">
        <f>SUMIFS('Plan rashoda za unos u SAP'!$I$3:$I$525,'Plan rashoda za unos u SAP'!$C$3:$C$525,"=573",'Plan rashoda za unos u SAP'!$M$3:$M$525,"=453")+SUMIFS('ANALITIKA EU PROJEKATA'!$G$3:$G$586,'ANALITIKA EU PROJEKATA'!$A$3:$A$586,"=573",'ANALITIKA EU PROJEKATA'!$K$3:$K$586,"=453")</f>
        <v>0</v>
      </c>
      <c r="Q56" s="138">
        <f>SUMIFS('Plan rashoda za unos u SAP'!$I$3:$I$525,'Plan rashoda za unos u SAP'!$C$3:$C$525,"=575",'Plan rashoda za unos u SAP'!$M$3:$M$525,"=453")+SUMIFS('ANALITIKA EU PROJEKATA'!$G$3:$G$586,'ANALITIKA EU PROJEKATA'!$A$3:$A$586,"=575",'ANALITIKA EU PROJEKATA'!$K$3:$K$586,"=453")</f>
        <v>0</v>
      </c>
      <c r="R56" s="138">
        <f>SUMIFS('Plan rashoda za unos u SAP'!$I$3:$I$525,'Plan rashoda za unos u SAP'!$C$3:$C$525,"=576",'Plan rashoda za unos u SAP'!$M$3:$M$525,"=453")+SUMIFS('ANALITIKA EU PROJEKATA'!$G$3:$G$586,'ANALITIKA EU PROJEKATA'!$A$3:$A$586,"=576",'ANALITIKA EU PROJEKATA'!$K$3:$K$586,"=453")</f>
        <v>0</v>
      </c>
      <c r="S56" s="138">
        <f>SUMIFS('Plan rashoda za unos u SAP'!$I$3:$I$525,'Plan rashoda za unos u SAP'!$C$3:$C$525,"=581",'Plan rashoda za unos u SAP'!$M$3:$M$525,"=453")+SUMIFS('ANALITIKA EU PROJEKATA'!$G$3:$G$586,'ANALITIKA EU PROJEKATA'!$A$3:$A$586,"=581",'ANALITIKA EU PROJEKATA'!$K$3:$K$586,"=453")</f>
        <v>0</v>
      </c>
      <c r="T56" s="138">
        <f>SUMIFS('Plan rashoda za unos u SAP'!$I$3:$I$525,'Plan rashoda za unos u SAP'!$C$3:$C$525,"=61",'Plan rashoda za unos u SAP'!$M$3:$M$525,"=453")+SUMIFS('ANALITIKA EU PROJEKATA'!$G$3:$G$586,'ANALITIKA EU PROJEKATA'!$A$3:$A$586,"=61",'ANALITIKA EU PROJEKATA'!$K$3:$K$586,"=453")</f>
        <v>0</v>
      </c>
      <c r="U56" s="138">
        <f>SUMIFS('Plan rashoda za unos u SAP'!$I$3:$I$525,'Plan rashoda za unos u SAP'!$C$3:$C$525,"=63",'Plan rashoda za unos u SAP'!$M$3:$M$525,"=453")+SUMIFS('ANALITIKA EU PROJEKATA'!$G$3:$G$586,'ANALITIKA EU PROJEKATA'!$A$3:$A$586,"=63",'ANALITIKA EU PROJEKATA'!$K$3:$K$586,"=453")</f>
        <v>0</v>
      </c>
      <c r="V56" s="138">
        <f>SUMIFS('Plan rashoda za unos u SAP'!$I$3:$I$525,'Plan rashoda za unos u SAP'!$C$3:$C$525,"=71",'Plan rashoda za unos u SAP'!$M$3:$M$525,"=453")+SUMIFS('ANALITIKA EU PROJEKATA'!$G$3:$G$586,'ANALITIKA EU PROJEKATA'!$A$3:$A$586,"=71",'ANALITIKA EU PROJEKATA'!$K$3:$K$586,"=453")</f>
        <v>0</v>
      </c>
      <c r="W56" s="138">
        <f>SUMIFS('Plan rashoda za unos u SAP'!$I$3:$I$525,'Plan rashoda za unos u SAP'!$C$3:$C$525,"=81",'Plan rashoda za unos u SAP'!$M$3:$M$525,"=453")+SUMIFS('ANALITIKA EU PROJEKATA'!$G$3:$G$586,'ANALITIKA EU PROJEKATA'!$A$3:$A$586,"=81",'ANALITIKA EU PROJEKATA'!$K$3:$K$586,"=453")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SAP'!$I$3:$I$525,'Plan rashoda za unos u SAP'!$C$3:$C$525,"=11",'Plan rashoda za unos u SAP'!$M$3:$M$525,"=454")+SUMIFS('ANALITIKA EU PROJEKATA'!$G$3:$G$586,'ANALITIKA EU PROJEKATA'!$A$3:$A$586,"=11",'ANALITIKA EU PROJEKATA'!$K$3:$K$586,"=454")</f>
        <v>0</v>
      </c>
      <c r="F57" s="138">
        <f>SUMIFS('Plan rashoda za unos u SAP'!$I$3:$I$525,'Plan rashoda za unos u SAP'!$C$3:$C$525,"=12",'Plan rashoda za unos u SAP'!$M$3:$M$525,"=454")+SUMIFS('ANALITIKA EU PROJEKATA'!$G$3:$G$586,'ANALITIKA EU PROJEKATA'!$A$3:$A$586,"=12",'ANALITIKA EU PROJEKATA'!$K$3:$K$586,"=454")</f>
        <v>0</v>
      </c>
      <c r="G57" s="138">
        <f>SUMIFS('Plan rashoda za unos u SAP'!$I$3:$I$525,'Plan rashoda za unos u SAP'!$C$3:$C$525,"=31",'Plan rashoda za unos u SAP'!$M$3:$M$525,"=454")+SUMIFS('ANALITIKA EU PROJEKATA'!$G$3:$G$586,'ANALITIKA EU PROJEKATA'!$A$3:$A$586,"=31",'ANALITIKA EU PROJEKATA'!$K$3:$K$586,"=454")</f>
        <v>0</v>
      </c>
      <c r="H57" s="138">
        <f>SUMIFS('Plan rashoda za unos u SAP'!$I$3:$I$525,'Plan rashoda za unos u SAP'!$C$3:$C$525,"=41",'Plan rashoda za unos u SAP'!$M$3:$M$525,"=454")+SUMIFS('ANALITIKA EU PROJEKATA'!$G$3:$G$586,'ANALITIKA EU PROJEKATA'!$A$3:$A$586,"=41",'ANALITIKA EU PROJEKATA'!$K$3:$K$586,"=454")</f>
        <v>0</v>
      </c>
      <c r="I57" s="138">
        <f>SUMIFS('Plan rashoda za unos u SAP'!$I$3:$I$525,'Plan rashoda za unos u SAP'!$C$3:$C$525,"=43",'Plan rashoda za unos u SAP'!$M$3:$M$525,"=454")+SUMIFS('ANALITIKA EU PROJEKATA'!$G$3:$G$586,'ANALITIKA EU PROJEKATA'!$A$3:$A$586,"=43",'ANALITIKA EU PROJEKATA'!$K$3:$K$586,"=454")</f>
        <v>0</v>
      </c>
      <c r="J57" s="138">
        <f>SUMIFS('Plan rashoda za unos u SAP'!$I$3:$I$525,'Plan rashoda za unos u SAP'!$C$3:$C$525,"=51",'Plan rashoda za unos u SAP'!$M$3:$M$525,"=454")+SUMIFS('ANALITIKA EU PROJEKATA'!$G$3:$G$586,'ANALITIKA EU PROJEKATA'!$A$3:$A$586,"=51",'ANALITIKA EU PROJEKATA'!$K$3:$K$586,"=454")</f>
        <v>0</v>
      </c>
      <c r="K57" s="138">
        <f>SUMIFS('Plan rashoda za unos u SAP'!$I$3:$I$525,'Plan rashoda za unos u SAP'!$C$3:$C$525,"=52",'Plan rashoda za unos u SAP'!$M$3:$M$525,"=454")+SUMIFS('ANALITIKA EU PROJEKATA'!$G$3:$G$586,'ANALITIKA EU PROJEKATA'!$A$3:$A$586,"=52",'ANALITIKA EU PROJEKATA'!$K$3:$K$586,"=454")</f>
        <v>0</v>
      </c>
      <c r="L57" s="138">
        <f>SUMIFS('Plan rashoda za unos u SAP'!$I$3:$I$525,'Plan rashoda za unos u SAP'!$C$3:$C$525,"=552",'Plan rashoda za unos u SAP'!$M$3:$M$525,"=454")+SUMIFS('ANALITIKA EU PROJEKATA'!$G$3:$G$586,'ANALITIKA EU PROJEKATA'!$A$3:$A$586,"=552",'ANALITIKA EU PROJEKATA'!$K$3:$K$586,"=454")</f>
        <v>0</v>
      </c>
      <c r="M57" s="138">
        <f>SUMIFS('Plan rashoda za unos u SAP'!$I$3:$I$525,'Plan rashoda za unos u SAP'!$C$3:$C$525,"=559",'Plan rashoda za unos u SAP'!$M$3:$M$525,"=454")+SUMIFS('ANALITIKA EU PROJEKATA'!$G$3:$G$586,'ANALITIKA EU PROJEKATA'!$A$3:$A$586,"=559",'ANALITIKA EU PROJEKATA'!$K$3:$K$586,"=454")</f>
        <v>0</v>
      </c>
      <c r="N57" s="138">
        <f>SUMIFS('Plan rashoda za unos u SAP'!$I$3:$I$525,'Plan rashoda za unos u SAP'!$C$3:$C$525,"=561",'Plan rashoda za unos u SAP'!$M$3:$M$525,"=454")+SUMIFS('ANALITIKA EU PROJEKATA'!$G$3:$G$586,'ANALITIKA EU PROJEKATA'!$A$3:$A$586,"=561",'ANALITIKA EU PROJEKATA'!$K$3:$K$586,"=454")</f>
        <v>0</v>
      </c>
      <c r="O57" s="138">
        <f>SUMIFS('Plan rashoda za unos u SAP'!$I$3:$I$525,'Plan rashoda za unos u SAP'!$C$3:$C$525,"=563",'Plan rashoda za unos u SAP'!$M$3:$M$525,"=454")+SUMIFS('ANALITIKA EU PROJEKATA'!$G$3:$G$586,'ANALITIKA EU PROJEKATA'!$A$3:$A$586,"=563",'ANALITIKA EU PROJEKATA'!$K$3:$K$586,"=454")</f>
        <v>0</v>
      </c>
      <c r="P57" s="138">
        <f>SUMIFS('Plan rashoda za unos u SAP'!$I$3:$I$525,'Plan rashoda za unos u SAP'!$C$3:$C$525,"=573",'Plan rashoda za unos u SAP'!$M$3:$M$525,"=454")+SUMIFS('ANALITIKA EU PROJEKATA'!$G$3:$G$586,'ANALITIKA EU PROJEKATA'!$A$3:$A$586,"=573",'ANALITIKA EU PROJEKATA'!$K$3:$K$586,"=454")</f>
        <v>0</v>
      </c>
      <c r="Q57" s="138">
        <f>SUMIFS('Plan rashoda za unos u SAP'!$I$3:$I$525,'Plan rashoda za unos u SAP'!$C$3:$C$525,"=575",'Plan rashoda za unos u SAP'!$M$3:$M$525,"=454")+SUMIFS('ANALITIKA EU PROJEKATA'!$G$3:$G$586,'ANALITIKA EU PROJEKATA'!$A$3:$A$586,"=575",'ANALITIKA EU PROJEKATA'!$K$3:$K$586,"=454")</f>
        <v>0</v>
      </c>
      <c r="R57" s="138">
        <f>SUMIFS('Plan rashoda za unos u SAP'!$I$3:$I$525,'Plan rashoda za unos u SAP'!$C$3:$C$525,"=576",'Plan rashoda za unos u SAP'!$M$3:$M$525,"=454")+SUMIFS('ANALITIKA EU PROJEKATA'!$G$3:$G$586,'ANALITIKA EU PROJEKATA'!$A$3:$A$586,"=576",'ANALITIKA EU PROJEKATA'!$K$3:$K$586,"=454")</f>
        <v>0</v>
      </c>
      <c r="S57" s="138">
        <f>SUMIFS('Plan rashoda za unos u SAP'!$I$3:$I$525,'Plan rashoda za unos u SAP'!$C$3:$C$525,"=581",'Plan rashoda za unos u SAP'!$M$3:$M$525,"=454")+SUMIFS('ANALITIKA EU PROJEKATA'!$G$3:$G$586,'ANALITIKA EU PROJEKATA'!$A$3:$A$586,"=581",'ANALITIKA EU PROJEKATA'!$K$3:$K$586,"=454")</f>
        <v>0</v>
      </c>
      <c r="T57" s="138">
        <f>SUMIFS('Plan rashoda za unos u SAP'!$I$3:$I$525,'Plan rashoda za unos u SAP'!$C$3:$C$525,"=61",'Plan rashoda za unos u SAP'!$M$3:$M$525,"=454")+SUMIFS('ANALITIKA EU PROJEKATA'!$G$3:$G$586,'ANALITIKA EU PROJEKATA'!$A$3:$A$586,"=61",'ANALITIKA EU PROJEKATA'!$K$3:$K$586,"=454")</f>
        <v>0</v>
      </c>
      <c r="U57" s="138">
        <f>SUMIFS('Plan rashoda za unos u SAP'!$I$3:$I$525,'Plan rashoda za unos u SAP'!$C$3:$C$525,"=63",'Plan rashoda za unos u SAP'!$M$3:$M$525,"=454")+SUMIFS('ANALITIKA EU PROJEKATA'!$G$3:$G$586,'ANALITIKA EU PROJEKATA'!$A$3:$A$586,"=63",'ANALITIKA EU PROJEKATA'!$K$3:$K$586,"=454")</f>
        <v>0</v>
      </c>
      <c r="V57" s="138">
        <f>SUMIFS('Plan rashoda za unos u SAP'!$I$3:$I$525,'Plan rashoda za unos u SAP'!$C$3:$C$525,"=71",'Plan rashoda za unos u SAP'!$M$3:$M$525,"=454")+SUMIFS('ANALITIKA EU PROJEKATA'!$G$3:$G$586,'ANALITIKA EU PROJEKATA'!$A$3:$A$586,"=71",'ANALITIKA EU PROJEKATA'!$K$3:$K$586,"=454")</f>
        <v>0</v>
      </c>
      <c r="W57" s="138">
        <f>SUMIFS('Plan rashoda za unos u SAP'!$I$3:$I$525,'Plan rashoda za unos u SAP'!$C$3:$C$525,"=81",'Plan rashoda za unos u SAP'!$M$3:$M$525,"=454")+SUMIFS('ANALITIKA EU PROJEKATA'!$G$3:$G$586,'ANALITIKA EU PROJEKATA'!$A$3:$A$586,"=81",'ANALITIKA EU PROJEKATA'!$K$3:$K$586,"=454")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346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351</v>
      </c>
      <c r="D60" s="78">
        <f t="shared" si="10"/>
        <v>0</v>
      </c>
      <c r="E60" s="138">
        <f>SUMIFS('Plan rashoda za unos u SAP'!$I$3:$I$525,'Plan rashoda za unos u SAP'!$C$3:$C$525,"=11",'Plan rashoda za unos u SAP'!$M$3:$M$525,"=512")+SUMIFS('ANALITIKA EU PROJEKATA'!$G$3:$G$586,'ANALITIKA EU PROJEKATA'!$A$3:$A$586,"=11",'ANALITIKA EU PROJEKATA'!$K$3:$K$586,"=512")</f>
        <v>0</v>
      </c>
      <c r="F60" s="138">
        <f>SUMIFS('Plan rashoda za unos u SAP'!$I$3:$I$525,'Plan rashoda za unos u SAP'!$C$3:$C$525,"=12",'Plan rashoda za unos u SAP'!$M$3:$M$525,"=512")+SUMIFS('ANALITIKA EU PROJEKATA'!$G$3:$G$586,'ANALITIKA EU PROJEKATA'!$A$3:$A$586,"=12",'ANALITIKA EU PROJEKATA'!$K$3:$K$586,"=512")</f>
        <v>0</v>
      </c>
      <c r="G60" s="138">
        <f>SUMIFS('Plan rashoda za unos u SAP'!$I$3:$I$525,'Plan rashoda za unos u SAP'!$C$3:$C$525,"=31",'Plan rashoda za unos u SAP'!$M$3:$M$525,"=512")+SUMIFS('ANALITIKA EU PROJEKATA'!$G$3:$G$586,'ANALITIKA EU PROJEKATA'!$A$3:$A$586,"=31",'ANALITIKA EU PROJEKATA'!$K$3:$K$586,"=512")</f>
        <v>0</v>
      </c>
      <c r="H60" s="138">
        <f>SUMIFS('Plan rashoda za unos u SAP'!$I$3:$I$525,'Plan rashoda za unos u SAP'!$C$3:$C$525,"=41",'Plan rashoda za unos u SAP'!$M$3:$M$525,"=512")+SUMIFS('ANALITIKA EU PROJEKATA'!$G$3:$G$586,'ANALITIKA EU PROJEKATA'!$A$3:$A$586,"=41",'ANALITIKA EU PROJEKATA'!$K$3:$K$586,"=512")</f>
        <v>0</v>
      </c>
      <c r="I60" s="138">
        <f>SUMIFS('Plan rashoda za unos u SAP'!$I$3:$I$525,'Plan rashoda za unos u SAP'!$C$3:$C$525,"=43",'Plan rashoda za unos u SAP'!$M$3:$M$525,"=512")+SUMIFS('ANALITIKA EU PROJEKATA'!$G$3:$G$586,'ANALITIKA EU PROJEKATA'!$A$3:$A$586,"=43",'ANALITIKA EU PROJEKATA'!$K$3:$K$586,"=512")</f>
        <v>0</v>
      </c>
      <c r="J60" s="138">
        <f>SUMIFS('Plan rashoda za unos u SAP'!$I$3:$I$525,'Plan rashoda za unos u SAP'!$C$3:$C$525,"=51",'Plan rashoda za unos u SAP'!$M$3:$M$525,"=512")+SUMIFS('ANALITIKA EU PROJEKATA'!$G$3:$G$586,'ANALITIKA EU PROJEKATA'!$A$3:$A$586,"=51",'ANALITIKA EU PROJEKATA'!$K$3:$K$586,"=512")</f>
        <v>0</v>
      </c>
      <c r="K60" s="138">
        <f>SUMIFS('Plan rashoda za unos u SAP'!$I$3:$I$525,'Plan rashoda za unos u SAP'!$C$3:$C$525,"=52",'Plan rashoda za unos u SAP'!$M$3:$M$525,"=512")+SUMIFS('ANALITIKA EU PROJEKATA'!$G$3:$G$586,'ANALITIKA EU PROJEKATA'!$A$3:$A$586,"=52",'ANALITIKA EU PROJEKATA'!$K$3:$K$586,"=512")</f>
        <v>0</v>
      </c>
      <c r="L60" s="138">
        <f>SUMIFS('Plan rashoda za unos u SAP'!$I$3:$I$525,'Plan rashoda za unos u SAP'!$C$3:$C$525,"=552",'Plan rashoda za unos u SAP'!$M$3:$M$525,"=512")+SUMIFS('ANALITIKA EU PROJEKATA'!$G$3:$G$586,'ANALITIKA EU PROJEKATA'!$A$3:$A$586,"=552",'ANALITIKA EU PROJEKATA'!$K$3:$K$586,"=512")</f>
        <v>0</v>
      </c>
      <c r="M60" s="138">
        <f>SUMIFS('Plan rashoda za unos u SAP'!$I$3:$I$525,'Plan rashoda za unos u SAP'!$C$3:$C$525,"=559",'Plan rashoda za unos u SAP'!$M$3:$M$525,"=512")+SUMIFS('ANALITIKA EU PROJEKATA'!$G$3:$G$586,'ANALITIKA EU PROJEKATA'!$A$3:$A$586,"=559",'ANALITIKA EU PROJEKATA'!$K$3:$K$586,"=512")</f>
        <v>0</v>
      </c>
      <c r="N60" s="138">
        <f>SUMIFS('Plan rashoda za unos u SAP'!$I$3:$I$525,'Plan rashoda za unos u SAP'!$C$3:$C$525,"=561",'Plan rashoda za unos u SAP'!$M$3:$M$525,"=512")+SUMIFS('ANALITIKA EU PROJEKATA'!$G$3:$G$586,'ANALITIKA EU PROJEKATA'!$A$3:$A$586,"=561",'ANALITIKA EU PROJEKATA'!$K$3:$K$586,"=512")</f>
        <v>0</v>
      </c>
      <c r="O60" s="138">
        <f>SUMIFS('Plan rashoda za unos u SAP'!$I$3:$I$525,'Plan rashoda za unos u SAP'!$C$3:$C$525,"=563",'Plan rashoda za unos u SAP'!$M$3:$M$525,"=512")+SUMIFS('ANALITIKA EU PROJEKATA'!$G$3:$G$586,'ANALITIKA EU PROJEKATA'!$A$3:$A$586,"=563",'ANALITIKA EU PROJEKATA'!$K$3:$K$586,"=512")</f>
        <v>0</v>
      </c>
      <c r="P60" s="138">
        <f>SUMIFS('Plan rashoda za unos u SAP'!$I$3:$I$525,'Plan rashoda za unos u SAP'!$C$3:$C$525,"=573",'Plan rashoda za unos u SAP'!$M$3:$M$525,"=512")+SUMIFS('ANALITIKA EU PROJEKATA'!$G$3:$G$586,'ANALITIKA EU PROJEKATA'!$A$3:$A$586,"=573",'ANALITIKA EU PROJEKATA'!$K$3:$K$586,"=512")</f>
        <v>0</v>
      </c>
      <c r="Q60" s="138">
        <f>SUMIFS('Plan rashoda za unos u SAP'!$I$3:$I$525,'Plan rashoda za unos u SAP'!$C$3:$C$525,"=575",'Plan rashoda za unos u SAP'!$M$3:$M$525,"=512")+SUMIFS('ANALITIKA EU PROJEKATA'!$G$3:$G$586,'ANALITIKA EU PROJEKATA'!$A$3:$A$586,"=575",'ANALITIKA EU PROJEKATA'!$K$3:$K$586,"=512")</f>
        <v>0</v>
      </c>
      <c r="R60" s="138">
        <f>SUMIFS('Plan rashoda za unos u SAP'!$I$3:$I$525,'Plan rashoda za unos u SAP'!$C$3:$C$525,"=576",'Plan rashoda za unos u SAP'!$M$3:$M$525,"=512")+SUMIFS('ANALITIKA EU PROJEKATA'!$G$3:$G$586,'ANALITIKA EU PROJEKATA'!$A$3:$A$586,"=576",'ANALITIKA EU PROJEKATA'!$K$3:$K$586,"=512")</f>
        <v>0</v>
      </c>
      <c r="S60" s="138">
        <f>SUMIFS('Plan rashoda za unos u SAP'!$I$3:$I$525,'Plan rashoda za unos u SAP'!$C$3:$C$525,"=581",'Plan rashoda za unos u SAP'!$M$3:$M$525,"=512")+SUMIFS('ANALITIKA EU PROJEKATA'!$G$3:$G$586,'ANALITIKA EU PROJEKATA'!$A$3:$A$586,"=581",'ANALITIKA EU PROJEKATA'!$K$3:$K$586,"=512")</f>
        <v>0</v>
      </c>
      <c r="T60" s="138">
        <f>SUMIFS('Plan rashoda za unos u SAP'!$I$3:$I$525,'Plan rashoda za unos u SAP'!$C$3:$C$525,"=61",'Plan rashoda za unos u SAP'!$M$3:$M$525,"=512")+SUMIFS('ANALITIKA EU PROJEKATA'!$G$3:$G$586,'ANALITIKA EU PROJEKATA'!$A$3:$A$586,"=61",'ANALITIKA EU PROJEKATA'!$K$3:$K$586,"=512")</f>
        <v>0</v>
      </c>
      <c r="U60" s="138">
        <f>SUMIFS('Plan rashoda za unos u SAP'!$I$3:$I$525,'Plan rashoda za unos u SAP'!$C$3:$C$525,"=63",'Plan rashoda za unos u SAP'!$M$3:$M$525,"=512")+SUMIFS('ANALITIKA EU PROJEKATA'!$G$3:$G$586,'ANALITIKA EU PROJEKATA'!$A$3:$A$586,"=63",'ANALITIKA EU PROJEKATA'!$K$3:$K$586,"=512")</f>
        <v>0</v>
      </c>
      <c r="V60" s="138">
        <f>SUMIFS('Plan rashoda za unos u SAP'!$I$3:$I$525,'Plan rashoda za unos u SAP'!$C$3:$C$525,"=71",'Plan rashoda za unos u SAP'!$M$3:$M$525,"=512")+SUMIFS('ANALITIKA EU PROJEKATA'!$G$3:$G$586,'ANALITIKA EU PROJEKATA'!$A$3:$A$586,"=71",'ANALITIKA EU PROJEKATA'!$K$3:$K$586,"=512")</f>
        <v>0</v>
      </c>
      <c r="W60" s="138">
        <f>SUMIFS('Plan rashoda za unos u SAP'!$I$3:$I$525,'Plan rashoda za unos u SAP'!$C$3:$C$525,"=81",'Plan rashoda za unos u SAP'!$M$3:$M$525,"=512")+SUMIFS('ANALITIKA EU PROJEKATA'!$G$3:$G$586,'ANALITIKA EU PROJEKATA'!$A$3:$A$586,"=81",'ANALITIKA EU PROJEKATA'!$K$3:$K$586,"=512")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352</v>
      </c>
      <c r="D61" s="78">
        <f t="shared" si="10"/>
        <v>0</v>
      </c>
      <c r="E61" s="138">
        <f>SUMIFS('Plan rashoda za unos u SAP'!$I$3:$I$525,'Plan rashoda za unos u SAP'!$C$3:$C$525,"=11",'Plan rashoda za unos u SAP'!$M$3:$M$525,"=514")+SUMIFS('ANALITIKA EU PROJEKATA'!$G$3:$G$586,'ANALITIKA EU PROJEKATA'!$A$3:$A$586,"=11",'ANALITIKA EU PROJEKATA'!$K$3:$K$586,"=514")</f>
        <v>0</v>
      </c>
      <c r="F61" s="138">
        <f>SUMIFS('Plan rashoda za unos u SAP'!$I$3:$I$525,'Plan rashoda za unos u SAP'!$C$3:$C$525,"=12",'Plan rashoda za unos u SAP'!$M$3:$M$525,"=514")+SUMIFS('ANALITIKA EU PROJEKATA'!$G$3:$G$586,'ANALITIKA EU PROJEKATA'!$A$3:$A$586,"=12",'ANALITIKA EU PROJEKATA'!$K$3:$K$586,"=514")</f>
        <v>0</v>
      </c>
      <c r="G61" s="138">
        <f>SUMIFS('Plan rashoda za unos u SAP'!$I$3:$I$525,'Plan rashoda za unos u SAP'!$C$3:$C$525,"=31",'Plan rashoda za unos u SAP'!$M$3:$M$525,"=514")+SUMIFS('ANALITIKA EU PROJEKATA'!$G$3:$G$586,'ANALITIKA EU PROJEKATA'!$A$3:$A$586,"=31",'ANALITIKA EU PROJEKATA'!$K$3:$K$586,"=514")</f>
        <v>0</v>
      </c>
      <c r="H61" s="138">
        <f>SUMIFS('Plan rashoda za unos u SAP'!$I$3:$I$525,'Plan rashoda za unos u SAP'!$C$3:$C$525,"=41",'Plan rashoda za unos u SAP'!$M$3:$M$525,"=514")+SUMIFS('ANALITIKA EU PROJEKATA'!$G$3:$G$586,'ANALITIKA EU PROJEKATA'!$A$3:$A$586,"=41",'ANALITIKA EU PROJEKATA'!$K$3:$K$586,"=514")</f>
        <v>0</v>
      </c>
      <c r="I61" s="138">
        <f>SUMIFS('Plan rashoda za unos u SAP'!$I$3:$I$525,'Plan rashoda za unos u SAP'!$C$3:$C$525,"=43",'Plan rashoda za unos u SAP'!$M$3:$M$525,"=514")+SUMIFS('ANALITIKA EU PROJEKATA'!$G$3:$G$586,'ANALITIKA EU PROJEKATA'!$A$3:$A$586,"=43",'ANALITIKA EU PROJEKATA'!$K$3:$K$586,"=514")</f>
        <v>0</v>
      </c>
      <c r="J61" s="138">
        <f>SUMIFS('Plan rashoda za unos u SAP'!$I$3:$I$525,'Plan rashoda za unos u SAP'!$C$3:$C$525,"=51",'Plan rashoda za unos u SAP'!$M$3:$M$525,"=514")+SUMIFS('ANALITIKA EU PROJEKATA'!$G$3:$G$586,'ANALITIKA EU PROJEKATA'!$A$3:$A$586,"=51",'ANALITIKA EU PROJEKATA'!$K$3:$K$586,"=514")</f>
        <v>0</v>
      </c>
      <c r="K61" s="138">
        <f>SUMIFS('Plan rashoda za unos u SAP'!$I$3:$I$525,'Plan rashoda za unos u SAP'!$C$3:$C$525,"=52",'Plan rashoda za unos u SAP'!$M$3:$M$525,"=514")+SUMIFS('ANALITIKA EU PROJEKATA'!$G$3:$G$586,'ANALITIKA EU PROJEKATA'!$A$3:$A$586,"=52",'ANALITIKA EU PROJEKATA'!$K$3:$K$586,"=514")</f>
        <v>0</v>
      </c>
      <c r="L61" s="138">
        <f>SUMIFS('Plan rashoda za unos u SAP'!$I$3:$I$525,'Plan rashoda za unos u SAP'!$C$3:$C$525,"=552",'Plan rashoda za unos u SAP'!$M$3:$M$525,"=514")+SUMIFS('ANALITIKA EU PROJEKATA'!$G$3:$G$586,'ANALITIKA EU PROJEKATA'!$A$3:$A$586,"=552",'ANALITIKA EU PROJEKATA'!$K$3:$K$586,"=514")</f>
        <v>0</v>
      </c>
      <c r="M61" s="138">
        <f>SUMIFS('Plan rashoda za unos u SAP'!$I$3:$I$525,'Plan rashoda za unos u SAP'!$C$3:$C$525,"=559",'Plan rashoda za unos u SAP'!$M$3:$M$525,"=514")+SUMIFS('ANALITIKA EU PROJEKATA'!$G$3:$G$586,'ANALITIKA EU PROJEKATA'!$A$3:$A$586,"=559",'ANALITIKA EU PROJEKATA'!$K$3:$K$586,"=514")</f>
        <v>0</v>
      </c>
      <c r="N61" s="138">
        <f>SUMIFS('Plan rashoda za unos u SAP'!$I$3:$I$525,'Plan rashoda za unos u SAP'!$C$3:$C$525,"=561",'Plan rashoda za unos u SAP'!$M$3:$M$525,"=514")+SUMIFS('ANALITIKA EU PROJEKATA'!$G$3:$G$586,'ANALITIKA EU PROJEKATA'!$A$3:$A$586,"=561",'ANALITIKA EU PROJEKATA'!$K$3:$K$586,"=514")</f>
        <v>0</v>
      </c>
      <c r="O61" s="138">
        <f>SUMIFS('Plan rashoda za unos u SAP'!$I$3:$I$525,'Plan rashoda za unos u SAP'!$C$3:$C$525,"=563",'Plan rashoda za unos u SAP'!$M$3:$M$525,"=514")+SUMIFS('ANALITIKA EU PROJEKATA'!$G$3:$G$586,'ANALITIKA EU PROJEKATA'!$A$3:$A$586,"=563",'ANALITIKA EU PROJEKATA'!$K$3:$K$586,"=514")</f>
        <v>0</v>
      </c>
      <c r="P61" s="138">
        <f>SUMIFS('Plan rashoda za unos u SAP'!$I$3:$I$525,'Plan rashoda za unos u SAP'!$C$3:$C$525,"=573",'Plan rashoda za unos u SAP'!$M$3:$M$525,"=514")+SUMIFS('ANALITIKA EU PROJEKATA'!$G$3:$G$586,'ANALITIKA EU PROJEKATA'!$A$3:$A$586,"=573",'ANALITIKA EU PROJEKATA'!$K$3:$K$586,"=514")</f>
        <v>0</v>
      </c>
      <c r="Q61" s="138">
        <f>SUMIFS('Plan rashoda za unos u SAP'!$I$3:$I$525,'Plan rashoda za unos u SAP'!$C$3:$C$525,"=575",'Plan rashoda za unos u SAP'!$M$3:$M$525,"=514")+SUMIFS('ANALITIKA EU PROJEKATA'!$G$3:$G$586,'ANALITIKA EU PROJEKATA'!$A$3:$A$586,"=575",'ANALITIKA EU PROJEKATA'!$K$3:$K$586,"=514")</f>
        <v>0</v>
      </c>
      <c r="R61" s="138">
        <f>SUMIFS('Plan rashoda za unos u SAP'!$I$3:$I$525,'Plan rashoda za unos u SAP'!$C$3:$C$525,"=576",'Plan rashoda za unos u SAP'!$M$3:$M$525,"=514")+SUMIFS('ANALITIKA EU PROJEKATA'!$G$3:$G$586,'ANALITIKA EU PROJEKATA'!$A$3:$A$586,"=576",'ANALITIKA EU PROJEKATA'!$K$3:$K$586,"=514")</f>
        <v>0</v>
      </c>
      <c r="S61" s="138">
        <f>SUMIFS('Plan rashoda za unos u SAP'!$I$3:$I$525,'Plan rashoda za unos u SAP'!$C$3:$C$525,"=581",'Plan rashoda za unos u SAP'!$M$3:$M$525,"=514")+SUMIFS('ANALITIKA EU PROJEKATA'!$G$3:$G$586,'ANALITIKA EU PROJEKATA'!$A$3:$A$586,"=581",'ANALITIKA EU PROJEKATA'!$K$3:$K$586,"=514")</f>
        <v>0</v>
      </c>
      <c r="T61" s="138">
        <f>SUMIFS('Plan rashoda za unos u SAP'!$I$3:$I$525,'Plan rashoda za unos u SAP'!$C$3:$C$525,"=61",'Plan rashoda za unos u SAP'!$M$3:$M$525,"=514")+SUMIFS('ANALITIKA EU PROJEKATA'!$G$3:$G$586,'ANALITIKA EU PROJEKATA'!$A$3:$A$586,"=61",'ANALITIKA EU PROJEKATA'!$K$3:$K$586,"=514")</f>
        <v>0</v>
      </c>
      <c r="U61" s="138">
        <f>SUMIFS('Plan rashoda za unos u SAP'!$I$3:$I$525,'Plan rashoda za unos u SAP'!$C$3:$C$525,"=63",'Plan rashoda za unos u SAP'!$M$3:$M$525,"=514")+SUMIFS('ANALITIKA EU PROJEKATA'!$G$3:$G$586,'ANALITIKA EU PROJEKATA'!$A$3:$A$586,"=63",'ANALITIKA EU PROJEKATA'!$K$3:$K$586,"=514")</f>
        <v>0</v>
      </c>
      <c r="V61" s="138">
        <f>SUMIFS('Plan rashoda za unos u SAP'!$I$3:$I$525,'Plan rashoda za unos u SAP'!$C$3:$C$525,"=71",'Plan rashoda za unos u SAP'!$M$3:$M$525,"=514")+SUMIFS('ANALITIKA EU PROJEKATA'!$G$3:$G$586,'ANALITIKA EU PROJEKATA'!$A$3:$A$586,"=71",'ANALITIKA EU PROJEKATA'!$K$3:$K$586,"=514")</f>
        <v>0</v>
      </c>
      <c r="W61" s="138">
        <f>SUMIFS('Plan rashoda za unos u SAP'!$I$3:$I$525,'Plan rashoda za unos u SAP'!$C$3:$C$525,"=81",'Plan rashoda za unos u SAP'!$M$3:$M$525,"=514")+SUMIFS('ANALITIKA EU PROJEKATA'!$G$3:$G$586,'ANALITIKA EU PROJEKATA'!$A$3:$A$586,"=81",'ANALITIKA EU PROJEKATA'!$K$3:$K$586,"=514")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353</v>
      </c>
      <c r="D62" s="78">
        <f t="shared" si="10"/>
        <v>0</v>
      </c>
      <c r="E62" s="138">
        <f>SUMIFS('Plan rashoda za unos u SAP'!$I$3:$I$525,'Plan rashoda za unos u SAP'!$C$3:$C$525,"=11",'Plan rashoda za unos u SAP'!$M$3:$M$525,"=518")+SUMIFS('ANALITIKA EU PROJEKATA'!$G$3:$G$586,'ANALITIKA EU PROJEKATA'!$A$3:$A$586,"=11",'ANALITIKA EU PROJEKATA'!$K$3:$K$586,"=518")</f>
        <v>0</v>
      </c>
      <c r="F62" s="138">
        <f>SUMIFS('Plan rashoda za unos u SAP'!$I$3:$I$525,'Plan rashoda za unos u SAP'!$C$3:$C$525,"=12",'Plan rashoda za unos u SAP'!$M$3:$M$525,"=518")+SUMIFS('ANALITIKA EU PROJEKATA'!$G$3:$G$586,'ANALITIKA EU PROJEKATA'!$A$3:$A$586,"=12",'ANALITIKA EU PROJEKATA'!$K$3:$K$586,"=518")</f>
        <v>0</v>
      </c>
      <c r="G62" s="138">
        <f>SUMIFS('Plan rashoda za unos u SAP'!$I$3:$I$525,'Plan rashoda za unos u SAP'!$C$3:$C$525,"=31",'Plan rashoda za unos u SAP'!$M$3:$M$525,"=518")+SUMIFS('ANALITIKA EU PROJEKATA'!$G$3:$G$586,'ANALITIKA EU PROJEKATA'!$A$3:$A$586,"=31",'ANALITIKA EU PROJEKATA'!$K$3:$K$586,"=518")</f>
        <v>0</v>
      </c>
      <c r="H62" s="138">
        <f>SUMIFS('Plan rashoda za unos u SAP'!$I$3:$I$525,'Plan rashoda za unos u SAP'!$C$3:$C$525,"=41",'Plan rashoda za unos u SAP'!$M$3:$M$525,"=518")+SUMIFS('ANALITIKA EU PROJEKATA'!$G$3:$G$586,'ANALITIKA EU PROJEKATA'!$A$3:$A$586,"=41",'ANALITIKA EU PROJEKATA'!$K$3:$K$586,"=518")</f>
        <v>0</v>
      </c>
      <c r="I62" s="138">
        <f>SUMIFS('Plan rashoda za unos u SAP'!$I$3:$I$525,'Plan rashoda za unos u SAP'!$C$3:$C$525,"=43",'Plan rashoda za unos u SAP'!$M$3:$M$525,"=518")+SUMIFS('ANALITIKA EU PROJEKATA'!$G$3:$G$586,'ANALITIKA EU PROJEKATA'!$A$3:$A$586,"=43",'ANALITIKA EU PROJEKATA'!$K$3:$K$586,"=518")</f>
        <v>0</v>
      </c>
      <c r="J62" s="138">
        <f>SUMIFS('Plan rashoda za unos u SAP'!$I$3:$I$525,'Plan rashoda za unos u SAP'!$C$3:$C$525,"=51",'Plan rashoda za unos u SAP'!$M$3:$M$525,"=518")+SUMIFS('ANALITIKA EU PROJEKATA'!$G$3:$G$586,'ANALITIKA EU PROJEKATA'!$A$3:$A$586,"=51",'ANALITIKA EU PROJEKATA'!$K$3:$K$586,"=518")</f>
        <v>0</v>
      </c>
      <c r="K62" s="138">
        <f>SUMIFS('Plan rashoda za unos u SAP'!$I$3:$I$525,'Plan rashoda za unos u SAP'!$C$3:$C$525,"=52",'Plan rashoda za unos u SAP'!$M$3:$M$525,"=518")+SUMIFS('ANALITIKA EU PROJEKATA'!$G$3:$G$586,'ANALITIKA EU PROJEKATA'!$A$3:$A$586,"=52",'ANALITIKA EU PROJEKATA'!$K$3:$K$586,"=518")</f>
        <v>0</v>
      </c>
      <c r="L62" s="138">
        <f>SUMIFS('Plan rashoda za unos u SAP'!$I$3:$I$525,'Plan rashoda za unos u SAP'!$C$3:$C$525,"=552",'Plan rashoda za unos u SAP'!$M$3:$M$525,"=518")+SUMIFS('ANALITIKA EU PROJEKATA'!$G$3:$G$586,'ANALITIKA EU PROJEKATA'!$A$3:$A$586,"=552",'ANALITIKA EU PROJEKATA'!$K$3:$K$586,"=518")</f>
        <v>0</v>
      </c>
      <c r="M62" s="138">
        <f>SUMIFS('Plan rashoda za unos u SAP'!$I$3:$I$525,'Plan rashoda za unos u SAP'!$C$3:$C$525,"=559",'Plan rashoda za unos u SAP'!$M$3:$M$525,"=518")+SUMIFS('ANALITIKA EU PROJEKATA'!$G$3:$G$586,'ANALITIKA EU PROJEKATA'!$A$3:$A$586,"=559",'ANALITIKA EU PROJEKATA'!$K$3:$K$586,"=518")</f>
        <v>0</v>
      </c>
      <c r="N62" s="138">
        <f>SUMIFS('Plan rashoda za unos u SAP'!$I$3:$I$525,'Plan rashoda za unos u SAP'!$C$3:$C$525,"=561",'Plan rashoda za unos u SAP'!$M$3:$M$525,"=518")+SUMIFS('ANALITIKA EU PROJEKATA'!$G$3:$G$586,'ANALITIKA EU PROJEKATA'!$A$3:$A$586,"=561",'ANALITIKA EU PROJEKATA'!$K$3:$K$586,"=518")</f>
        <v>0</v>
      </c>
      <c r="O62" s="138">
        <f>SUMIFS('Plan rashoda za unos u SAP'!$I$3:$I$525,'Plan rashoda za unos u SAP'!$C$3:$C$525,"=563",'Plan rashoda za unos u SAP'!$M$3:$M$525,"=518")+SUMIFS('ANALITIKA EU PROJEKATA'!$G$3:$G$586,'ANALITIKA EU PROJEKATA'!$A$3:$A$586,"=563",'ANALITIKA EU PROJEKATA'!$K$3:$K$586,"=518")</f>
        <v>0</v>
      </c>
      <c r="P62" s="138">
        <f>SUMIFS('Plan rashoda za unos u SAP'!$I$3:$I$525,'Plan rashoda za unos u SAP'!$C$3:$C$525,"=573",'Plan rashoda za unos u SAP'!$M$3:$M$525,"=518")+SUMIFS('ANALITIKA EU PROJEKATA'!$G$3:$G$586,'ANALITIKA EU PROJEKATA'!$A$3:$A$586,"=573",'ANALITIKA EU PROJEKATA'!$K$3:$K$586,"=518")</f>
        <v>0</v>
      </c>
      <c r="Q62" s="138">
        <f>SUMIFS('Plan rashoda za unos u SAP'!$I$3:$I$525,'Plan rashoda za unos u SAP'!$C$3:$C$525,"=575",'Plan rashoda za unos u SAP'!$M$3:$M$525,"=518")+SUMIFS('ANALITIKA EU PROJEKATA'!$G$3:$G$586,'ANALITIKA EU PROJEKATA'!$A$3:$A$586,"=575",'ANALITIKA EU PROJEKATA'!$K$3:$K$586,"=518")</f>
        <v>0</v>
      </c>
      <c r="R62" s="138">
        <f>SUMIFS('Plan rashoda za unos u SAP'!$I$3:$I$525,'Plan rashoda za unos u SAP'!$C$3:$C$525,"=576",'Plan rashoda za unos u SAP'!$M$3:$M$525,"=518")+SUMIFS('ANALITIKA EU PROJEKATA'!$G$3:$G$586,'ANALITIKA EU PROJEKATA'!$A$3:$A$586,"=576",'ANALITIKA EU PROJEKATA'!$K$3:$K$586,"=518")</f>
        <v>0</v>
      </c>
      <c r="S62" s="138">
        <f>SUMIFS('Plan rashoda za unos u SAP'!$I$3:$I$525,'Plan rashoda za unos u SAP'!$C$3:$C$525,"=581",'Plan rashoda za unos u SAP'!$M$3:$M$525,"=518")+SUMIFS('ANALITIKA EU PROJEKATA'!$G$3:$G$586,'ANALITIKA EU PROJEKATA'!$A$3:$A$586,"=581",'ANALITIKA EU PROJEKATA'!$K$3:$K$586,"=518")</f>
        <v>0</v>
      </c>
      <c r="T62" s="138">
        <f>SUMIFS('Plan rashoda za unos u SAP'!$I$3:$I$525,'Plan rashoda za unos u SAP'!$C$3:$C$525,"=61",'Plan rashoda za unos u SAP'!$M$3:$M$525,"=518")+SUMIFS('ANALITIKA EU PROJEKATA'!$G$3:$G$586,'ANALITIKA EU PROJEKATA'!$A$3:$A$586,"=61",'ANALITIKA EU PROJEKATA'!$K$3:$K$586,"=518")</f>
        <v>0</v>
      </c>
      <c r="U62" s="138">
        <f>SUMIFS('Plan rashoda za unos u SAP'!$I$3:$I$525,'Plan rashoda za unos u SAP'!$C$3:$C$525,"=63",'Plan rashoda za unos u SAP'!$M$3:$M$525,"=518")+SUMIFS('ANALITIKA EU PROJEKATA'!$G$3:$G$586,'ANALITIKA EU PROJEKATA'!$A$3:$A$586,"=63",'ANALITIKA EU PROJEKATA'!$K$3:$K$586,"=518")</f>
        <v>0</v>
      </c>
      <c r="V62" s="138">
        <f>SUMIFS('Plan rashoda za unos u SAP'!$I$3:$I$525,'Plan rashoda za unos u SAP'!$C$3:$C$525,"=71",'Plan rashoda za unos u SAP'!$M$3:$M$525,"=518")+SUMIFS('ANALITIKA EU PROJEKATA'!$G$3:$G$586,'ANALITIKA EU PROJEKATA'!$A$3:$A$586,"=71",'ANALITIKA EU PROJEKATA'!$K$3:$K$586,"=518")</f>
        <v>0</v>
      </c>
      <c r="W62" s="138">
        <f>SUMIFS('Plan rashoda za unos u SAP'!$I$3:$I$525,'Plan rashoda za unos u SAP'!$C$3:$C$525,"=81",'Plan rashoda za unos u SAP'!$M$3:$M$525,"=518")+SUMIFS('ANALITIKA EU PROJEKATA'!$G$3:$G$586,'ANALITIKA EU PROJEKATA'!$A$3:$A$586,"=81",'ANALITIKA EU PROJEKATA'!$K$3:$K$586,"=518")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347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354</v>
      </c>
      <c r="D64" s="78">
        <f t="shared" si="10"/>
        <v>0</v>
      </c>
      <c r="E64" s="138">
        <f>SUMIFS('Plan rashoda za unos u SAP'!$I$3:$I$525,'Plan rashoda za unos u SAP'!$C$3:$C$525,"=11",'Plan rashoda za unos u SAP'!$M$3:$M$525,"=542")+SUMIFS('ANALITIKA EU PROJEKATA'!$G$3:$G$586,'ANALITIKA EU PROJEKATA'!$A$3:$A$586,"=11",'ANALITIKA EU PROJEKATA'!$K$3:$K$586,"=542")</f>
        <v>0</v>
      </c>
      <c r="F64" s="138">
        <f>SUMIFS('Plan rashoda za unos u SAP'!$I$3:$I$525,'Plan rashoda za unos u SAP'!$C$3:$C$525,"=12",'Plan rashoda za unos u SAP'!$M$3:$M$525,"=542")+SUMIFS('ANALITIKA EU PROJEKATA'!$G$3:$G$586,'ANALITIKA EU PROJEKATA'!$A$3:$A$586,"=12",'ANALITIKA EU PROJEKATA'!$K$3:$K$586,"=542")</f>
        <v>0</v>
      </c>
      <c r="G64" s="138">
        <f>SUMIFS('Plan rashoda za unos u SAP'!$I$3:$I$525,'Plan rashoda za unos u SAP'!$C$3:$C$525,"=31",'Plan rashoda za unos u SAP'!$M$3:$M$525,"=542")+SUMIFS('ANALITIKA EU PROJEKATA'!$G$3:$G$586,'ANALITIKA EU PROJEKATA'!$A$3:$A$586,"=31",'ANALITIKA EU PROJEKATA'!$K$3:$K$586,"=542")</f>
        <v>0</v>
      </c>
      <c r="H64" s="138">
        <f>SUMIFS('Plan rashoda za unos u SAP'!$I$3:$I$525,'Plan rashoda za unos u SAP'!$C$3:$C$525,"=41",'Plan rashoda za unos u SAP'!$M$3:$M$525,"=542")+SUMIFS('ANALITIKA EU PROJEKATA'!$G$3:$G$586,'ANALITIKA EU PROJEKATA'!$A$3:$A$586,"=41",'ANALITIKA EU PROJEKATA'!$K$3:$K$586,"=542")</f>
        <v>0</v>
      </c>
      <c r="I64" s="138">
        <f>SUMIFS('Plan rashoda za unos u SAP'!$I$3:$I$525,'Plan rashoda za unos u SAP'!$C$3:$C$525,"=43",'Plan rashoda za unos u SAP'!$M$3:$M$525,"=542")+SUMIFS('ANALITIKA EU PROJEKATA'!$G$3:$G$586,'ANALITIKA EU PROJEKATA'!$A$3:$A$586,"=43",'ANALITIKA EU PROJEKATA'!$K$3:$K$586,"=542")</f>
        <v>0</v>
      </c>
      <c r="J64" s="138">
        <f>SUMIFS('Plan rashoda za unos u SAP'!$I$3:$I$525,'Plan rashoda za unos u SAP'!$C$3:$C$525,"=51",'Plan rashoda za unos u SAP'!$M$3:$M$525,"=542")+SUMIFS('ANALITIKA EU PROJEKATA'!$G$3:$G$586,'ANALITIKA EU PROJEKATA'!$A$3:$A$586,"=51",'ANALITIKA EU PROJEKATA'!$K$3:$K$586,"=542")</f>
        <v>0</v>
      </c>
      <c r="K64" s="138">
        <f>SUMIFS('Plan rashoda za unos u SAP'!$I$3:$I$525,'Plan rashoda za unos u SAP'!$C$3:$C$525,"=52",'Plan rashoda za unos u SAP'!$M$3:$M$525,"=542")+SUMIFS('ANALITIKA EU PROJEKATA'!$G$3:$G$586,'ANALITIKA EU PROJEKATA'!$A$3:$A$586,"=52",'ANALITIKA EU PROJEKATA'!$K$3:$K$586,"=542")</f>
        <v>0</v>
      </c>
      <c r="L64" s="138">
        <f>SUMIFS('Plan rashoda za unos u SAP'!$I$3:$I$525,'Plan rashoda za unos u SAP'!$C$3:$C$525,"=552",'Plan rashoda za unos u SAP'!$M$3:$M$525,"=542")+SUMIFS('ANALITIKA EU PROJEKATA'!$G$3:$G$586,'ANALITIKA EU PROJEKATA'!$A$3:$A$586,"=552",'ANALITIKA EU PROJEKATA'!$K$3:$K$586,"=542")</f>
        <v>0</v>
      </c>
      <c r="M64" s="138">
        <f>SUMIFS('Plan rashoda za unos u SAP'!$I$3:$I$525,'Plan rashoda za unos u SAP'!$C$3:$C$525,"=559",'Plan rashoda za unos u SAP'!$M$3:$M$525,"=542")+SUMIFS('ANALITIKA EU PROJEKATA'!$G$3:$G$586,'ANALITIKA EU PROJEKATA'!$A$3:$A$586,"=559",'ANALITIKA EU PROJEKATA'!$K$3:$K$586,"=542")</f>
        <v>0</v>
      </c>
      <c r="N64" s="138">
        <f>SUMIFS('Plan rashoda za unos u SAP'!$I$3:$I$525,'Plan rashoda za unos u SAP'!$C$3:$C$525,"=561",'Plan rashoda za unos u SAP'!$M$3:$M$525,"=542")+SUMIFS('ANALITIKA EU PROJEKATA'!$G$3:$G$586,'ANALITIKA EU PROJEKATA'!$A$3:$A$586,"=561",'ANALITIKA EU PROJEKATA'!$K$3:$K$586,"=542")</f>
        <v>0</v>
      </c>
      <c r="O64" s="138">
        <f>SUMIFS('Plan rashoda za unos u SAP'!$I$3:$I$525,'Plan rashoda za unos u SAP'!$C$3:$C$525,"=563",'Plan rashoda za unos u SAP'!$M$3:$M$525,"=542")+SUMIFS('ANALITIKA EU PROJEKATA'!$G$3:$G$586,'ANALITIKA EU PROJEKATA'!$A$3:$A$586,"=563",'ANALITIKA EU PROJEKATA'!$K$3:$K$586,"=542")</f>
        <v>0</v>
      </c>
      <c r="P64" s="138">
        <f>SUMIFS('Plan rashoda za unos u SAP'!$I$3:$I$525,'Plan rashoda za unos u SAP'!$C$3:$C$525,"=573",'Plan rashoda za unos u SAP'!$M$3:$M$525,"=542")+SUMIFS('ANALITIKA EU PROJEKATA'!$G$3:$G$586,'ANALITIKA EU PROJEKATA'!$A$3:$A$586,"=573",'ANALITIKA EU PROJEKATA'!$K$3:$K$586,"=542")</f>
        <v>0</v>
      </c>
      <c r="Q64" s="138">
        <f>SUMIFS('Plan rashoda za unos u SAP'!$I$3:$I$525,'Plan rashoda za unos u SAP'!$C$3:$C$525,"=575",'Plan rashoda za unos u SAP'!$M$3:$M$525,"=542")+SUMIFS('ANALITIKA EU PROJEKATA'!$G$3:$G$586,'ANALITIKA EU PROJEKATA'!$A$3:$A$586,"=575",'ANALITIKA EU PROJEKATA'!$K$3:$K$586,"=542")</f>
        <v>0</v>
      </c>
      <c r="R64" s="138">
        <f>SUMIFS('Plan rashoda za unos u SAP'!$I$3:$I$525,'Plan rashoda za unos u SAP'!$C$3:$C$525,"=576",'Plan rashoda za unos u SAP'!$M$3:$M$525,"=542")+SUMIFS('ANALITIKA EU PROJEKATA'!$G$3:$G$586,'ANALITIKA EU PROJEKATA'!$A$3:$A$586,"=576",'ANALITIKA EU PROJEKATA'!$K$3:$K$586,"=542")</f>
        <v>0</v>
      </c>
      <c r="S64" s="138">
        <f>SUMIFS('Plan rashoda za unos u SAP'!$I$3:$I$525,'Plan rashoda za unos u SAP'!$C$3:$C$525,"=581",'Plan rashoda za unos u SAP'!$M$3:$M$525,"=542")+SUMIFS('ANALITIKA EU PROJEKATA'!$G$3:$G$586,'ANALITIKA EU PROJEKATA'!$A$3:$A$586,"=581",'ANALITIKA EU PROJEKATA'!$K$3:$K$586,"=542")</f>
        <v>0</v>
      </c>
      <c r="T64" s="138">
        <f>SUMIFS('Plan rashoda za unos u SAP'!$I$3:$I$525,'Plan rashoda za unos u SAP'!$C$3:$C$525,"=61",'Plan rashoda za unos u SAP'!$M$3:$M$525,"=542")+SUMIFS('ANALITIKA EU PROJEKATA'!$G$3:$G$586,'ANALITIKA EU PROJEKATA'!$A$3:$A$586,"=61",'ANALITIKA EU PROJEKATA'!$K$3:$K$586,"=542")</f>
        <v>0</v>
      </c>
      <c r="U64" s="138">
        <f>SUMIFS('Plan rashoda za unos u SAP'!$I$3:$I$525,'Plan rashoda za unos u SAP'!$C$3:$C$525,"=63",'Plan rashoda za unos u SAP'!$M$3:$M$525,"=542")+SUMIFS('ANALITIKA EU PROJEKATA'!$G$3:$G$586,'ANALITIKA EU PROJEKATA'!$A$3:$A$586,"=63",'ANALITIKA EU PROJEKATA'!$K$3:$K$586,"=542")</f>
        <v>0</v>
      </c>
      <c r="V64" s="138">
        <f>SUMIFS('Plan rashoda za unos u SAP'!$I$3:$I$525,'Plan rashoda za unos u SAP'!$C$3:$C$525,"=71",'Plan rashoda za unos u SAP'!$M$3:$M$525,"=542")+SUMIFS('ANALITIKA EU PROJEKATA'!$G$3:$G$586,'ANALITIKA EU PROJEKATA'!$A$3:$A$586,"=71",'ANALITIKA EU PROJEKATA'!$K$3:$K$586,"=542")</f>
        <v>0</v>
      </c>
      <c r="W64" s="138">
        <f>SUMIFS('Plan rashoda za unos u SAP'!$I$3:$I$525,'Plan rashoda za unos u SAP'!$C$3:$C$525,"=81",'Plan rashoda za unos u SAP'!$M$3:$M$525,"=542")+SUMIFS('ANALITIKA EU PROJEKATA'!$G$3:$G$586,'ANALITIKA EU PROJEKATA'!$A$3:$A$586,"=81",'ANALITIKA EU PROJEKATA'!$K$3:$K$586,"=542")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355</v>
      </c>
      <c r="D65" s="78">
        <f t="shared" si="10"/>
        <v>0</v>
      </c>
      <c r="E65" s="138">
        <f>SUMIFS('Plan rashoda za unos u SAP'!$I$3:$I$525,'Plan rashoda za unos u SAP'!$C$3:$C$525,"=11",'Plan rashoda za unos u SAP'!$M$3:$M$525,"=543")+SUMIFS('ANALITIKA EU PROJEKATA'!$G$3:$G$586,'ANALITIKA EU PROJEKATA'!$A$3:$A$586,"=11",'ANALITIKA EU PROJEKATA'!$K$3:$K$586,"=543")</f>
        <v>0</v>
      </c>
      <c r="F65" s="138">
        <f>SUMIFS('Plan rashoda za unos u SAP'!$I$3:$I$525,'Plan rashoda za unos u SAP'!$C$3:$C$525,"=12",'Plan rashoda za unos u SAP'!$M$3:$M$525,"=543")+SUMIFS('ANALITIKA EU PROJEKATA'!$G$3:$G$586,'ANALITIKA EU PROJEKATA'!$A$3:$A$586,"=12",'ANALITIKA EU PROJEKATA'!$K$3:$K$586,"=543")</f>
        <v>0</v>
      </c>
      <c r="G65" s="138">
        <f>SUMIFS('Plan rashoda za unos u SAP'!$I$3:$I$525,'Plan rashoda za unos u SAP'!$C$3:$C$525,"=31",'Plan rashoda za unos u SAP'!$M$3:$M$525,"=543")+SUMIFS('ANALITIKA EU PROJEKATA'!$G$3:$G$586,'ANALITIKA EU PROJEKATA'!$A$3:$A$586,"=31",'ANALITIKA EU PROJEKATA'!$K$3:$K$586,"=543")</f>
        <v>0</v>
      </c>
      <c r="H65" s="138">
        <f>SUMIFS('Plan rashoda za unos u SAP'!$I$3:$I$525,'Plan rashoda za unos u SAP'!$C$3:$C$525,"=41",'Plan rashoda za unos u SAP'!$M$3:$M$525,"=543")+SUMIFS('ANALITIKA EU PROJEKATA'!$G$3:$G$586,'ANALITIKA EU PROJEKATA'!$A$3:$A$586,"=41",'ANALITIKA EU PROJEKATA'!$K$3:$K$586,"=543")</f>
        <v>0</v>
      </c>
      <c r="I65" s="138">
        <f>SUMIFS('Plan rashoda za unos u SAP'!$I$3:$I$525,'Plan rashoda za unos u SAP'!$C$3:$C$525,"=43",'Plan rashoda za unos u SAP'!$M$3:$M$525,"=543")+SUMIFS('ANALITIKA EU PROJEKATA'!$G$3:$G$586,'ANALITIKA EU PROJEKATA'!$A$3:$A$586,"=43",'ANALITIKA EU PROJEKATA'!$K$3:$K$586,"=543")</f>
        <v>0</v>
      </c>
      <c r="J65" s="138">
        <f>SUMIFS('Plan rashoda za unos u SAP'!$I$3:$I$525,'Plan rashoda za unos u SAP'!$C$3:$C$525,"=51",'Plan rashoda za unos u SAP'!$M$3:$M$525,"=543")+SUMIFS('ANALITIKA EU PROJEKATA'!$G$3:$G$586,'ANALITIKA EU PROJEKATA'!$A$3:$A$586,"=51",'ANALITIKA EU PROJEKATA'!$K$3:$K$586,"=543")</f>
        <v>0</v>
      </c>
      <c r="K65" s="138">
        <f>SUMIFS('Plan rashoda za unos u SAP'!$I$3:$I$525,'Plan rashoda za unos u SAP'!$C$3:$C$525,"=52",'Plan rashoda za unos u SAP'!$M$3:$M$525,"=543")+SUMIFS('ANALITIKA EU PROJEKATA'!$G$3:$G$586,'ANALITIKA EU PROJEKATA'!$A$3:$A$586,"=52",'ANALITIKA EU PROJEKATA'!$K$3:$K$586,"=543")</f>
        <v>0</v>
      </c>
      <c r="L65" s="138">
        <f>SUMIFS('Plan rashoda za unos u SAP'!$I$3:$I$525,'Plan rashoda za unos u SAP'!$C$3:$C$525,"=552",'Plan rashoda za unos u SAP'!$M$3:$M$525,"=543")+SUMIFS('ANALITIKA EU PROJEKATA'!$G$3:$G$586,'ANALITIKA EU PROJEKATA'!$A$3:$A$586,"=552",'ANALITIKA EU PROJEKATA'!$K$3:$K$586,"=543")</f>
        <v>0</v>
      </c>
      <c r="M65" s="138">
        <f>SUMIFS('Plan rashoda za unos u SAP'!$I$3:$I$525,'Plan rashoda za unos u SAP'!$C$3:$C$525,"=559",'Plan rashoda za unos u SAP'!$M$3:$M$525,"=543")+SUMIFS('ANALITIKA EU PROJEKATA'!$G$3:$G$586,'ANALITIKA EU PROJEKATA'!$A$3:$A$586,"=559",'ANALITIKA EU PROJEKATA'!$K$3:$K$586,"=543")</f>
        <v>0</v>
      </c>
      <c r="N65" s="138">
        <f>SUMIFS('Plan rashoda za unos u SAP'!$I$3:$I$525,'Plan rashoda za unos u SAP'!$C$3:$C$525,"=561",'Plan rashoda za unos u SAP'!$M$3:$M$525,"=543")+SUMIFS('ANALITIKA EU PROJEKATA'!$G$3:$G$586,'ANALITIKA EU PROJEKATA'!$A$3:$A$586,"=561",'ANALITIKA EU PROJEKATA'!$K$3:$K$586,"=543")</f>
        <v>0</v>
      </c>
      <c r="O65" s="138">
        <f>SUMIFS('Plan rashoda za unos u SAP'!$I$3:$I$525,'Plan rashoda za unos u SAP'!$C$3:$C$525,"=563",'Plan rashoda za unos u SAP'!$M$3:$M$525,"=543")+SUMIFS('ANALITIKA EU PROJEKATA'!$G$3:$G$586,'ANALITIKA EU PROJEKATA'!$A$3:$A$586,"=563",'ANALITIKA EU PROJEKATA'!$K$3:$K$586,"=543")</f>
        <v>0</v>
      </c>
      <c r="P65" s="138">
        <f>SUMIFS('Plan rashoda za unos u SAP'!$I$3:$I$525,'Plan rashoda za unos u SAP'!$C$3:$C$525,"=573",'Plan rashoda za unos u SAP'!$M$3:$M$525,"=543")+SUMIFS('ANALITIKA EU PROJEKATA'!$G$3:$G$586,'ANALITIKA EU PROJEKATA'!$A$3:$A$586,"=573",'ANALITIKA EU PROJEKATA'!$K$3:$K$586,"=543")</f>
        <v>0</v>
      </c>
      <c r="Q65" s="138">
        <f>SUMIFS('Plan rashoda za unos u SAP'!$I$3:$I$525,'Plan rashoda za unos u SAP'!$C$3:$C$525,"=575",'Plan rashoda za unos u SAP'!$M$3:$M$525,"=543")+SUMIFS('ANALITIKA EU PROJEKATA'!$G$3:$G$586,'ANALITIKA EU PROJEKATA'!$A$3:$A$586,"=575",'ANALITIKA EU PROJEKATA'!$K$3:$K$586,"=543")</f>
        <v>0</v>
      </c>
      <c r="R65" s="138">
        <f>SUMIFS('Plan rashoda za unos u SAP'!$I$3:$I$525,'Plan rashoda za unos u SAP'!$C$3:$C$525,"=576",'Plan rashoda za unos u SAP'!$M$3:$M$525,"=543")+SUMIFS('ANALITIKA EU PROJEKATA'!$G$3:$G$586,'ANALITIKA EU PROJEKATA'!$A$3:$A$586,"=576",'ANALITIKA EU PROJEKATA'!$K$3:$K$586,"=543")</f>
        <v>0</v>
      </c>
      <c r="S65" s="138">
        <f>SUMIFS('Plan rashoda za unos u SAP'!$I$3:$I$525,'Plan rashoda za unos u SAP'!$C$3:$C$525,"=581",'Plan rashoda za unos u SAP'!$M$3:$M$525,"=543")+SUMIFS('ANALITIKA EU PROJEKATA'!$G$3:$G$586,'ANALITIKA EU PROJEKATA'!$A$3:$A$586,"=581",'ANALITIKA EU PROJEKATA'!$K$3:$K$586,"=543")</f>
        <v>0</v>
      </c>
      <c r="T65" s="138">
        <f>SUMIFS('Plan rashoda za unos u SAP'!$I$3:$I$525,'Plan rashoda za unos u SAP'!$C$3:$C$525,"=61",'Plan rashoda za unos u SAP'!$M$3:$M$525,"=543")+SUMIFS('ANALITIKA EU PROJEKATA'!$G$3:$G$586,'ANALITIKA EU PROJEKATA'!$A$3:$A$586,"=61",'ANALITIKA EU PROJEKATA'!$K$3:$K$586,"=543")</f>
        <v>0</v>
      </c>
      <c r="U65" s="138">
        <f>SUMIFS('Plan rashoda za unos u SAP'!$I$3:$I$525,'Plan rashoda za unos u SAP'!$C$3:$C$525,"=63",'Plan rashoda za unos u SAP'!$M$3:$M$525,"=543")+SUMIFS('ANALITIKA EU PROJEKATA'!$G$3:$G$586,'ANALITIKA EU PROJEKATA'!$A$3:$A$586,"=63",'ANALITIKA EU PROJEKATA'!$K$3:$K$586,"=543")</f>
        <v>0</v>
      </c>
      <c r="V65" s="138">
        <f>SUMIFS('Plan rashoda za unos u SAP'!$I$3:$I$525,'Plan rashoda za unos u SAP'!$C$3:$C$525,"=71",'Plan rashoda za unos u SAP'!$M$3:$M$525,"=543")+SUMIFS('ANALITIKA EU PROJEKATA'!$G$3:$G$586,'ANALITIKA EU PROJEKATA'!$A$3:$A$586,"=71",'ANALITIKA EU PROJEKATA'!$K$3:$K$586,"=543")</f>
        <v>0</v>
      </c>
      <c r="W65" s="138">
        <f>SUMIFS('Plan rashoda za unos u SAP'!$I$3:$I$525,'Plan rashoda za unos u SAP'!$C$3:$C$525,"=81",'Plan rashoda za unos u SAP'!$M$3:$M$525,"=543")+SUMIFS('ANALITIKA EU PROJEKATA'!$G$3:$G$586,'ANALITIKA EU PROJEKATA'!$A$3:$A$586,"=81",'ANALITIKA EU PROJEKATA'!$K$3:$K$586,"=543")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356</v>
      </c>
      <c r="D66" s="78">
        <f t="shared" si="10"/>
        <v>0</v>
      </c>
      <c r="E66" s="138">
        <f>SUMIFS('Plan rashoda za unos u SAP'!$I$3:$I$525,'Plan rashoda za unos u SAP'!$C$3:$C$525,"=11",'Plan rashoda za unos u SAP'!$M$3:$M$525,"=544")+SUMIFS('ANALITIKA EU PROJEKATA'!$G$3:$G$586,'ANALITIKA EU PROJEKATA'!$A$3:$A$586,"=11",'ANALITIKA EU PROJEKATA'!$K$3:$K$586,"=544")</f>
        <v>0</v>
      </c>
      <c r="F66" s="138">
        <f>SUMIFS('Plan rashoda za unos u SAP'!$I$3:$I$525,'Plan rashoda za unos u SAP'!$C$3:$C$525,"=12",'Plan rashoda za unos u SAP'!$M$3:$M$525,"=544")+SUMIFS('ANALITIKA EU PROJEKATA'!$G$3:$G$586,'ANALITIKA EU PROJEKATA'!$A$3:$A$586,"=12",'ANALITIKA EU PROJEKATA'!$K$3:$K$586,"=544")</f>
        <v>0</v>
      </c>
      <c r="G66" s="138">
        <f>SUMIFS('Plan rashoda za unos u SAP'!$I$3:$I$525,'Plan rashoda za unos u SAP'!$C$3:$C$525,"=31",'Plan rashoda za unos u SAP'!$M$3:$M$525,"=544")+SUMIFS('ANALITIKA EU PROJEKATA'!$G$3:$G$586,'ANALITIKA EU PROJEKATA'!$A$3:$A$586,"=31",'ANALITIKA EU PROJEKATA'!$K$3:$K$586,"=544")</f>
        <v>0</v>
      </c>
      <c r="H66" s="138">
        <f>SUMIFS('Plan rashoda za unos u SAP'!$I$3:$I$525,'Plan rashoda za unos u SAP'!$C$3:$C$525,"=41",'Plan rashoda za unos u SAP'!$M$3:$M$525,"=544")+SUMIFS('ANALITIKA EU PROJEKATA'!$G$3:$G$586,'ANALITIKA EU PROJEKATA'!$A$3:$A$586,"=41",'ANALITIKA EU PROJEKATA'!$K$3:$K$586,"=544")</f>
        <v>0</v>
      </c>
      <c r="I66" s="138">
        <f>SUMIFS('Plan rashoda za unos u SAP'!$I$3:$I$525,'Plan rashoda za unos u SAP'!$C$3:$C$525,"=43",'Plan rashoda za unos u SAP'!$M$3:$M$525,"=544")+SUMIFS('ANALITIKA EU PROJEKATA'!$G$3:$G$586,'ANALITIKA EU PROJEKATA'!$A$3:$A$586,"=43",'ANALITIKA EU PROJEKATA'!$K$3:$K$586,"=544")</f>
        <v>0</v>
      </c>
      <c r="J66" s="138">
        <f>SUMIFS('Plan rashoda za unos u SAP'!$I$3:$I$525,'Plan rashoda za unos u SAP'!$C$3:$C$525,"=51",'Plan rashoda za unos u SAP'!$M$3:$M$525,"=544")+SUMIFS('ANALITIKA EU PROJEKATA'!$G$3:$G$586,'ANALITIKA EU PROJEKATA'!$A$3:$A$586,"=51",'ANALITIKA EU PROJEKATA'!$K$3:$K$586,"=544")</f>
        <v>0</v>
      </c>
      <c r="K66" s="138">
        <f>SUMIFS('Plan rashoda za unos u SAP'!$I$3:$I$525,'Plan rashoda za unos u SAP'!$C$3:$C$525,"=52",'Plan rashoda za unos u SAP'!$M$3:$M$525,"=544")+SUMIFS('ANALITIKA EU PROJEKATA'!$G$3:$G$586,'ANALITIKA EU PROJEKATA'!$A$3:$A$586,"=52",'ANALITIKA EU PROJEKATA'!$K$3:$K$586,"=544")</f>
        <v>0</v>
      </c>
      <c r="L66" s="138">
        <f>SUMIFS('Plan rashoda za unos u SAP'!$I$3:$I$525,'Plan rashoda za unos u SAP'!$C$3:$C$525,"=552",'Plan rashoda za unos u SAP'!$M$3:$M$525,"=544")+SUMIFS('ANALITIKA EU PROJEKATA'!$G$3:$G$586,'ANALITIKA EU PROJEKATA'!$A$3:$A$586,"=552",'ANALITIKA EU PROJEKATA'!$K$3:$K$586,"=544")</f>
        <v>0</v>
      </c>
      <c r="M66" s="138">
        <f>SUMIFS('Plan rashoda za unos u SAP'!$I$3:$I$525,'Plan rashoda za unos u SAP'!$C$3:$C$525,"=559",'Plan rashoda za unos u SAP'!$M$3:$M$525,"=544")+SUMIFS('ANALITIKA EU PROJEKATA'!$G$3:$G$586,'ANALITIKA EU PROJEKATA'!$A$3:$A$586,"=559",'ANALITIKA EU PROJEKATA'!$K$3:$K$586,"=544")</f>
        <v>0</v>
      </c>
      <c r="N66" s="138">
        <f>SUMIFS('Plan rashoda za unos u SAP'!$I$3:$I$525,'Plan rashoda za unos u SAP'!$C$3:$C$525,"=561",'Plan rashoda za unos u SAP'!$M$3:$M$525,"=544")+SUMIFS('ANALITIKA EU PROJEKATA'!$G$3:$G$586,'ANALITIKA EU PROJEKATA'!$A$3:$A$586,"=561",'ANALITIKA EU PROJEKATA'!$K$3:$K$586,"=544")</f>
        <v>0</v>
      </c>
      <c r="O66" s="138">
        <f>SUMIFS('Plan rashoda za unos u SAP'!$I$3:$I$525,'Plan rashoda za unos u SAP'!$C$3:$C$525,"=563",'Plan rashoda za unos u SAP'!$M$3:$M$525,"=544")+SUMIFS('ANALITIKA EU PROJEKATA'!$G$3:$G$586,'ANALITIKA EU PROJEKATA'!$A$3:$A$586,"=563",'ANALITIKA EU PROJEKATA'!$K$3:$K$586,"=544")</f>
        <v>0</v>
      </c>
      <c r="P66" s="138">
        <f>SUMIFS('Plan rashoda za unos u SAP'!$I$3:$I$525,'Plan rashoda za unos u SAP'!$C$3:$C$525,"=573",'Plan rashoda za unos u SAP'!$M$3:$M$525,"=544")+SUMIFS('ANALITIKA EU PROJEKATA'!$G$3:$G$586,'ANALITIKA EU PROJEKATA'!$A$3:$A$586,"=573",'ANALITIKA EU PROJEKATA'!$K$3:$K$586,"=544")</f>
        <v>0</v>
      </c>
      <c r="Q66" s="138">
        <f>SUMIFS('Plan rashoda za unos u SAP'!$I$3:$I$525,'Plan rashoda za unos u SAP'!$C$3:$C$525,"=575",'Plan rashoda za unos u SAP'!$M$3:$M$525,"=544")+SUMIFS('ANALITIKA EU PROJEKATA'!$G$3:$G$586,'ANALITIKA EU PROJEKATA'!$A$3:$A$586,"=575",'ANALITIKA EU PROJEKATA'!$K$3:$K$586,"=544")</f>
        <v>0</v>
      </c>
      <c r="R66" s="138">
        <f>SUMIFS('Plan rashoda za unos u SAP'!$I$3:$I$525,'Plan rashoda za unos u SAP'!$C$3:$C$525,"=576",'Plan rashoda za unos u SAP'!$M$3:$M$525,"=544")+SUMIFS('ANALITIKA EU PROJEKATA'!$G$3:$G$586,'ANALITIKA EU PROJEKATA'!$A$3:$A$586,"=576",'ANALITIKA EU PROJEKATA'!$K$3:$K$586,"=544")</f>
        <v>0</v>
      </c>
      <c r="S66" s="138">
        <f>SUMIFS('Plan rashoda za unos u SAP'!$I$3:$I$525,'Plan rashoda za unos u SAP'!$C$3:$C$525,"=581",'Plan rashoda za unos u SAP'!$M$3:$M$525,"=544")+SUMIFS('ANALITIKA EU PROJEKATA'!$G$3:$G$586,'ANALITIKA EU PROJEKATA'!$A$3:$A$586,"=581",'ANALITIKA EU PROJEKATA'!$K$3:$K$586,"=544")</f>
        <v>0</v>
      </c>
      <c r="T66" s="138">
        <f>SUMIFS('Plan rashoda za unos u SAP'!$I$3:$I$525,'Plan rashoda za unos u SAP'!$C$3:$C$525,"=61",'Plan rashoda za unos u SAP'!$M$3:$M$525,"=544")+SUMIFS('ANALITIKA EU PROJEKATA'!$G$3:$G$586,'ANALITIKA EU PROJEKATA'!$A$3:$A$586,"=61",'ANALITIKA EU PROJEKATA'!$K$3:$K$586,"=544")</f>
        <v>0</v>
      </c>
      <c r="U66" s="138">
        <f>SUMIFS('Plan rashoda za unos u SAP'!$I$3:$I$525,'Plan rashoda za unos u SAP'!$C$3:$C$525,"=63",'Plan rashoda za unos u SAP'!$M$3:$M$525,"=544")+SUMIFS('ANALITIKA EU PROJEKATA'!$G$3:$G$586,'ANALITIKA EU PROJEKATA'!$A$3:$A$586,"=63",'ANALITIKA EU PROJEKATA'!$K$3:$K$586,"=544")</f>
        <v>0</v>
      </c>
      <c r="V66" s="138">
        <f>SUMIFS('Plan rashoda za unos u SAP'!$I$3:$I$525,'Plan rashoda za unos u SAP'!$C$3:$C$525,"=71",'Plan rashoda za unos u SAP'!$M$3:$M$525,"=544")+SUMIFS('ANALITIKA EU PROJEKATA'!$G$3:$G$586,'ANALITIKA EU PROJEKATA'!$A$3:$A$586,"=71",'ANALITIKA EU PROJEKATA'!$K$3:$K$586,"=544")</f>
        <v>0</v>
      </c>
      <c r="W66" s="138">
        <f>SUMIFS('Plan rashoda za unos u SAP'!$I$3:$I$525,'Plan rashoda za unos u SAP'!$C$3:$C$525,"=81",'Plan rashoda za unos u SAP'!$M$3:$M$525,"=544")+SUMIFS('ANALITIKA EU PROJEKATA'!$G$3:$G$586,'ANALITIKA EU PROJEKATA'!$A$3:$A$586,"=81",'ANALITIKA EU PROJEKATA'!$K$3:$K$586,"=544")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357</v>
      </c>
      <c r="D67" s="78">
        <f t="shared" ref="D67:D68" si="21">SUM(E67:W67)</f>
        <v>0</v>
      </c>
      <c r="E67" s="138">
        <f>SUMIFS('Plan rashoda za unos u SAP'!$I$3:$I$525,'Plan rashoda za unos u SAP'!$C$3:$C$525,"=11",'Plan rashoda za unos u SAP'!$M$3:$M$525,"=545")+SUMIFS('ANALITIKA EU PROJEKATA'!$G$3:$G$586,'ANALITIKA EU PROJEKATA'!$A$3:$A$586,"=11",'ANALITIKA EU PROJEKATA'!$K$3:$K$586,"=545")</f>
        <v>0</v>
      </c>
      <c r="F67" s="138">
        <f>SUMIFS('Plan rashoda za unos u SAP'!$I$3:$I$525,'Plan rashoda za unos u SAP'!$C$3:$C$525,"=12",'Plan rashoda za unos u SAP'!$M$3:$M$525,"=545")+SUMIFS('ANALITIKA EU PROJEKATA'!$G$3:$G$586,'ANALITIKA EU PROJEKATA'!$A$3:$A$586,"=12",'ANALITIKA EU PROJEKATA'!$K$3:$K$586,"=545")</f>
        <v>0</v>
      </c>
      <c r="G67" s="138">
        <f>SUMIFS('Plan rashoda za unos u SAP'!$I$3:$I$525,'Plan rashoda za unos u SAP'!$C$3:$C$525,"=31",'Plan rashoda za unos u SAP'!$M$3:$M$525,"=545")+SUMIFS('ANALITIKA EU PROJEKATA'!$G$3:$G$586,'ANALITIKA EU PROJEKATA'!$A$3:$A$586,"=31",'ANALITIKA EU PROJEKATA'!$K$3:$K$586,"=545")</f>
        <v>0</v>
      </c>
      <c r="H67" s="138">
        <f>SUMIFS('Plan rashoda za unos u SAP'!$I$3:$I$525,'Plan rashoda za unos u SAP'!$C$3:$C$525,"=41",'Plan rashoda za unos u SAP'!$M$3:$M$525,"=545")+SUMIFS('ANALITIKA EU PROJEKATA'!$G$3:$G$586,'ANALITIKA EU PROJEKATA'!$A$3:$A$586,"=41",'ANALITIKA EU PROJEKATA'!$K$3:$K$586,"=545")</f>
        <v>0</v>
      </c>
      <c r="I67" s="138">
        <f>SUMIFS('Plan rashoda za unos u SAP'!$I$3:$I$525,'Plan rashoda za unos u SAP'!$C$3:$C$525,"=43",'Plan rashoda za unos u SAP'!$M$3:$M$525,"=545")+SUMIFS('ANALITIKA EU PROJEKATA'!$G$3:$G$586,'ANALITIKA EU PROJEKATA'!$A$3:$A$586,"=43",'ANALITIKA EU PROJEKATA'!$K$3:$K$586,"=545")</f>
        <v>0</v>
      </c>
      <c r="J67" s="138">
        <f>SUMIFS('Plan rashoda za unos u SAP'!$I$3:$I$525,'Plan rashoda za unos u SAP'!$C$3:$C$525,"=51",'Plan rashoda za unos u SAP'!$M$3:$M$525,"=545")+SUMIFS('ANALITIKA EU PROJEKATA'!$G$3:$G$586,'ANALITIKA EU PROJEKATA'!$A$3:$A$586,"=51",'ANALITIKA EU PROJEKATA'!$K$3:$K$586,"=545")</f>
        <v>0</v>
      </c>
      <c r="K67" s="138">
        <f>SUMIFS('Plan rashoda za unos u SAP'!$I$3:$I$525,'Plan rashoda za unos u SAP'!$C$3:$C$525,"=52",'Plan rashoda za unos u SAP'!$M$3:$M$525,"=545")+SUMIFS('ANALITIKA EU PROJEKATA'!$G$3:$G$586,'ANALITIKA EU PROJEKATA'!$A$3:$A$586,"=52",'ANALITIKA EU PROJEKATA'!$K$3:$K$586,"=545")</f>
        <v>0</v>
      </c>
      <c r="L67" s="138">
        <f>SUMIFS('Plan rashoda za unos u SAP'!$I$3:$I$525,'Plan rashoda za unos u SAP'!$C$3:$C$525,"=552",'Plan rashoda za unos u SAP'!$M$3:$M$525,"=545")+SUMIFS('ANALITIKA EU PROJEKATA'!$G$3:$G$586,'ANALITIKA EU PROJEKATA'!$A$3:$A$586,"=552",'ANALITIKA EU PROJEKATA'!$K$3:$K$586,"=545")</f>
        <v>0</v>
      </c>
      <c r="M67" s="138">
        <f>SUMIFS('Plan rashoda za unos u SAP'!$I$3:$I$525,'Plan rashoda za unos u SAP'!$C$3:$C$525,"=559",'Plan rashoda za unos u SAP'!$M$3:$M$525,"=545")+SUMIFS('ANALITIKA EU PROJEKATA'!$G$3:$G$586,'ANALITIKA EU PROJEKATA'!$A$3:$A$586,"=559",'ANALITIKA EU PROJEKATA'!$K$3:$K$586,"=545")</f>
        <v>0</v>
      </c>
      <c r="N67" s="138">
        <f>SUMIFS('Plan rashoda za unos u SAP'!$I$3:$I$525,'Plan rashoda za unos u SAP'!$C$3:$C$525,"=561",'Plan rashoda za unos u SAP'!$M$3:$M$525,"=545")+SUMIFS('ANALITIKA EU PROJEKATA'!$G$3:$G$586,'ANALITIKA EU PROJEKATA'!$A$3:$A$586,"=561",'ANALITIKA EU PROJEKATA'!$K$3:$K$586,"=545")</f>
        <v>0</v>
      </c>
      <c r="O67" s="138">
        <f>SUMIFS('Plan rashoda za unos u SAP'!$I$3:$I$525,'Plan rashoda za unos u SAP'!$C$3:$C$525,"=563",'Plan rashoda za unos u SAP'!$M$3:$M$525,"=545")+SUMIFS('ANALITIKA EU PROJEKATA'!$G$3:$G$586,'ANALITIKA EU PROJEKATA'!$A$3:$A$586,"=563",'ANALITIKA EU PROJEKATA'!$K$3:$K$586,"=545")</f>
        <v>0</v>
      </c>
      <c r="P67" s="138">
        <f>SUMIFS('Plan rashoda za unos u SAP'!$I$3:$I$525,'Plan rashoda za unos u SAP'!$C$3:$C$525,"=573",'Plan rashoda za unos u SAP'!$M$3:$M$525,"=545")+SUMIFS('ANALITIKA EU PROJEKATA'!$G$3:$G$586,'ANALITIKA EU PROJEKATA'!$A$3:$A$586,"=573",'ANALITIKA EU PROJEKATA'!$K$3:$K$586,"=545")</f>
        <v>0</v>
      </c>
      <c r="Q67" s="138">
        <f>SUMIFS('Plan rashoda za unos u SAP'!$I$3:$I$525,'Plan rashoda za unos u SAP'!$C$3:$C$525,"=575",'Plan rashoda za unos u SAP'!$M$3:$M$525,"=545")+SUMIFS('ANALITIKA EU PROJEKATA'!$G$3:$G$586,'ANALITIKA EU PROJEKATA'!$A$3:$A$586,"=575",'ANALITIKA EU PROJEKATA'!$K$3:$K$586,"=545")</f>
        <v>0</v>
      </c>
      <c r="R67" s="138">
        <f>SUMIFS('Plan rashoda za unos u SAP'!$I$3:$I$525,'Plan rashoda za unos u SAP'!$C$3:$C$525,"=576",'Plan rashoda za unos u SAP'!$M$3:$M$525,"=545")+SUMIFS('ANALITIKA EU PROJEKATA'!$G$3:$G$586,'ANALITIKA EU PROJEKATA'!$A$3:$A$586,"=576",'ANALITIKA EU PROJEKATA'!$K$3:$K$586,"=545")</f>
        <v>0</v>
      </c>
      <c r="S67" s="138">
        <f>SUMIFS('Plan rashoda za unos u SAP'!$I$3:$I$525,'Plan rashoda za unos u SAP'!$C$3:$C$525,"=581",'Plan rashoda za unos u SAP'!$M$3:$M$525,"=545")+SUMIFS('ANALITIKA EU PROJEKATA'!$G$3:$G$586,'ANALITIKA EU PROJEKATA'!$A$3:$A$586,"=581",'ANALITIKA EU PROJEKATA'!$K$3:$K$586,"=545")</f>
        <v>0</v>
      </c>
      <c r="T67" s="138">
        <f>SUMIFS('Plan rashoda za unos u SAP'!$I$3:$I$525,'Plan rashoda za unos u SAP'!$C$3:$C$525,"=61",'Plan rashoda za unos u SAP'!$M$3:$M$525,"=545")+SUMIFS('ANALITIKA EU PROJEKATA'!$G$3:$G$586,'ANALITIKA EU PROJEKATA'!$A$3:$A$586,"=61",'ANALITIKA EU PROJEKATA'!$K$3:$K$586,"=545")</f>
        <v>0</v>
      </c>
      <c r="U67" s="138">
        <f>SUMIFS('Plan rashoda za unos u SAP'!$I$3:$I$525,'Plan rashoda za unos u SAP'!$C$3:$C$525,"=63",'Plan rashoda za unos u SAP'!$M$3:$M$525,"=545")+SUMIFS('ANALITIKA EU PROJEKATA'!$G$3:$G$586,'ANALITIKA EU PROJEKATA'!$A$3:$A$586,"=63",'ANALITIKA EU PROJEKATA'!$K$3:$K$586,"=545")</f>
        <v>0</v>
      </c>
      <c r="V67" s="138">
        <f>SUMIFS('Plan rashoda za unos u SAP'!$I$3:$I$525,'Plan rashoda za unos u SAP'!$C$3:$C$525,"=71",'Plan rashoda za unos u SAP'!$M$3:$M$525,"=545")+SUMIFS('ANALITIKA EU PROJEKATA'!$G$3:$G$586,'ANALITIKA EU PROJEKATA'!$A$3:$A$586,"=71",'ANALITIKA EU PROJEKATA'!$K$3:$K$586,"=545")</f>
        <v>0</v>
      </c>
      <c r="W67" s="138">
        <f>SUMIFS('Plan rashoda za unos u SAP'!$I$3:$I$525,'Plan rashoda za unos u SAP'!$C$3:$C$525,"=81",'Plan rashoda za unos u SAP'!$M$3:$M$525,"=545")+SUMIFS('ANALITIKA EU PROJEKATA'!$G$3:$G$586,'ANALITIKA EU PROJEKATA'!$A$3:$A$586,"=81",'ANALITIKA EU PROJEKATA'!$K$3:$K$586,"=545")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358</v>
      </c>
      <c r="D68" s="78">
        <f t="shared" si="21"/>
        <v>0</v>
      </c>
      <c r="E68" s="138">
        <f>SUMIFS('Plan rashoda za unos u SAP'!$I$3:$I$525,'Plan rashoda za unos u SAP'!$C$3:$C$525,"=11",'Plan rashoda za unos u SAP'!$M$3:$M$525,"=547")+SUMIFS('ANALITIKA EU PROJEKATA'!$G$3:$G$586,'ANALITIKA EU PROJEKATA'!$A$3:$A$586,"=11",'ANALITIKA EU PROJEKATA'!$K$3:$K$586,"=547")</f>
        <v>0</v>
      </c>
      <c r="F68" s="138">
        <f>SUMIFS('Plan rashoda za unos u SAP'!$I$3:$I$525,'Plan rashoda za unos u SAP'!$C$3:$C$525,"=12",'Plan rashoda za unos u SAP'!$M$3:$M$525,"=547")+SUMIFS('ANALITIKA EU PROJEKATA'!$G$3:$G$586,'ANALITIKA EU PROJEKATA'!$A$3:$A$586,"=12",'ANALITIKA EU PROJEKATA'!$K$3:$K$586,"=547")</f>
        <v>0</v>
      </c>
      <c r="G68" s="138">
        <f>SUMIFS('Plan rashoda za unos u SAP'!$I$3:$I$525,'Plan rashoda za unos u SAP'!$C$3:$C$525,"=31",'Plan rashoda za unos u SAP'!$M$3:$M$525,"=547")+SUMIFS('ANALITIKA EU PROJEKATA'!$G$3:$G$586,'ANALITIKA EU PROJEKATA'!$A$3:$A$586,"=31",'ANALITIKA EU PROJEKATA'!$K$3:$K$586,"=547")</f>
        <v>0</v>
      </c>
      <c r="H68" s="138">
        <f>SUMIFS('Plan rashoda za unos u SAP'!$I$3:$I$525,'Plan rashoda za unos u SAP'!$C$3:$C$525,"=41",'Plan rashoda za unos u SAP'!$M$3:$M$525,"=547")+SUMIFS('ANALITIKA EU PROJEKATA'!$G$3:$G$586,'ANALITIKA EU PROJEKATA'!$A$3:$A$586,"=41",'ANALITIKA EU PROJEKATA'!$K$3:$K$586,"=547")</f>
        <v>0</v>
      </c>
      <c r="I68" s="138">
        <f>SUMIFS('Plan rashoda za unos u SAP'!$I$3:$I$525,'Plan rashoda za unos u SAP'!$C$3:$C$525,"=43",'Plan rashoda za unos u SAP'!$M$3:$M$525,"=547")+SUMIFS('ANALITIKA EU PROJEKATA'!$G$3:$G$586,'ANALITIKA EU PROJEKATA'!$A$3:$A$586,"=43",'ANALITIKA EU PROJEKATA'!$K$3:$K$586,"=547")</f>
        <v>0</v>
      </c>
      <c r="J68" s="138">
        <f>SUMIFS('Plan rashoda za unos u SAP'!$I$3:$I$525,'Plan rashoda za unos u SAP'!$C$3:$C$525,"=51",'Plan rashoda za unos u SAP'!$M$3:$M$525,"=547")+SUMIFS('ANALITIKA EU PROJEKATA'!$G$3:$G$586,'ANALITIKA EU PROJEKATA'!$A$3:$A$586,"=51",'ANALITIKA EU PROJEKATA'!$K$3:$K$586,"=547")</f>
        <v>0</v>
      </c>
      <c r="K68" s="138">
        <f>SUMIFS('Plan rashoda za unos u SAP'!$I$3:$I$525,'Plan rashoda za unos u SAP'!$C$3:$C$525,"=52",'Plan rashoda za unos u SAP'!$M$3:$M$525,"=547")+SUMIFS('ANALITIKA EU PROJEKATA'!$G$3:$G$586,'ANALITIKA EU PROJEKATA'!$A$3:$A$586,"=52",'ANALITIKA EU PROJEKATA'!$K$3:$K$586,"=547")</f>
        <v>0</v>
      </c>
      <c r="L68" s="138">
        <f>SUMIFS('Plan rashoda za unos u SAP'!$I$3:$I$525,'Plan rashoda za unos u SAP'!$C$3:$C$525,"=552",'Plan rashoda za unos u SAP'!$M$3:$M$525,"=547")+SUMIFS('ANALITIKA EU PROJEKATA'!$G$3:$G$586,'ANALITIKA EU PROJEKATA'!$A$3:$A$586,"=552",'ANALITIKA EU PROJEKATA'!$K$3:$K$586,"=547")</f>
        <v>0</v>
      </c>
      <c r="M68" s="138">
        <f>SUMIFS('Plan rashoda za unos u SAP'!$I$3:$I$525,'Plan rashoda za unos u SAP'!$C$3:$C$525,"=559",'Plan rashoda za unos u SAP'!$M$3:$M$525,"=547")+SUMIFS('ANALITIKA EU PROJEKATA'!$G$3:$G$586,'ANALITIKA EU PROJEKATA'!$A$3:$A$586,"=559",'ANALITIKA EU PROJEKATA'!$K$3:$K$586,"=547")</f>
        <v>0</v>
      </c>
      <c r="N68" s="138">
        <f>SUMIFS('Plan rashoda za unos u SAP'!$I$3:$I$525,'Plan rashoda za unos u SAP'!$C$3:$C$525,"=561",'Plan rashoda za unos u SAP'!$M$3:$M$525,"=547")+SUMIFS('ANALITIKA EU PROJEKATA'!$G$3:$G$586,'ANALITIKA EU PROJEKATA'!$A$3:$A$586,"=561",'ANALITIKA EU PROJEKATA'!$K$3:$K$586,"=547")</f>
        <v>0</v>
      </c>
      <c r="O68" s="138">
        <f>SUMIFS('Plan rashoda za unos u SAP'!$I$3:$I$525,'Plan rashoda za unos u SAP'!$C$3:$C$525,"=563",'Plan rashoda za unos u SAP'!$M$3:$M$525,"=547")+SUMIFS('ANALITIKA EU PROJEKATA'!$G$3:$G$586,'ANALITIKA EU PROJEKATA'!$A$3:$A$586,"=563",'ANALITIKA EU PROJEKATA'!$K$3:$K$586,"=547")</f>
        <v>0</v>
      </c>
      <c r="P68" s="138">
        <f>SUMIFS('Plan rashoda za unos u SAP'!$I$3:$I$525,'Plan rashoda za unos u SAP'!$C$3:$C$525,"=573",'Plan rashoda za unos u SAP'!$M$3:$M$525,"=547")+SUMIFS('ANALITIKA EU PROJEKATA'!$G$3:$G$586,'ANALITIKA EU PROJEKATA'!$A$3:$A$586,"=573",'ANALITIKA EU PROJEKATA'!$K$3:$K$586,"=547")</f>
        <v>0</v>
      </c>
      <c r="Q68" s="138">
        <f>SUMIFS('Plan rashoda za unos u SAP'!$I$3:$I$525,'Plan rashoda za unos u SAP'!$C$3:$C$525,"=575",'Plan rashoda za unos u SAP'!$M$3:$M$525,"=547")+SUMIFS('ANALITIKA EU PROJEKATA'!$G$3:$G$586,'ANALITIKA EU PROJEKATA'!$A$3:$A$586,"=575",'ANALITIKA EU PROJEKATA'!$K$3:$K$586,"=547")</f>
        <v>0</v>
      </c>
      <c r="R68" s="138">
        <f>SUMIFS('Plan rashoda za unos u SAP'!$I$3:$I$525,'Plan rashoda za unos u SAP'!$C$3:$C$525,"=576",'Plan rashoda za unos u SAP'!$M$3:$M$525,"=547")+SUMIFS('ANALITIKA EU PROJEKATA'!$G$3:$G$586,'ANALITIKA EU PROJEKATA'!$A$3:$A$586,"=576",'ANALITIKA EU PROJEKATA'!$K$3:$K$586,"=547")</f>
        <v>0</v>
      </c>
      <c r="S68" s="138">
        <f>SUMIFS('Plan rashoda za unos u SAP'!$I$3:$I$525,'Plan rashoda za unos u SAP'!$C$3:$C$525,"=581",'Plan rashoda za unos u SAP'!$M$3:$M$525,"=547")+SUMIFS('ANALITIKA EU PROJEKATA'!$G$3:$G$586,'ANALITIKA EU PROJEKATA'!$A$3:$A$586,"=581",'ANALITIKA EU PROJEKATA'!$K$3:$K$586,"=547")</f>
        <v>0</v>
      </c>
      <c r="T68" s="138">
        <f>SUMIFS('Plan rashoda za unos u SAP'!$I$3:$I$525,'Plan rashoda za unos u SAP'!$C$3:$C$525,"=61",'Plan rashoda za unos u SAP'!$M$3:$M$525,"=547")+SUMIFS('ANALITIKA EU PROJEKATA'!$G$3:$G$586,'ANALITIKA EU PROJEKATA'!$A$3:$A$586,"=61",'ANALITIKA EU PROJEKATA'!$K$3:$K$586,"=547")</f>
        <v>0</v>
      </c>
      <c r="U68" s="138">
        <f>SUMIFS('Plan rashoda za unos u SAP'!$I$3:$I$525,'Plan rashoda za unos u SAP'!$C$3:$C$525,"=63",'Plan rashoda za unos u SAP'!$M$3:$M$525,"=547")+SUMIFS('ANALITIKA EU PROJEKATA'!$G$3:$G$586,'ANALITIKA EU PROJEKATA'!$A$3:$A$586,"=63",'ANALITIKA EU PROJEKATA'!$K$3:$K$586,"=547")</f>
        <v>0</v>
      </c>
      <c r="V68" s="138">
        <f>SUMIFS('Plan rashoda za unos u SAP'!$I$3:$I$525,'Plan rashoda za unos u SAP'!$C$3:$C$525,"=71",'Plan rashoda za unos u SAP'!$M$3:$M$525,"=547")+SUMIFS('ANALITIKA EU PROJEKATA'!$G$3:$G$586,'ANALITIKA EU PROJEKATA'!$A$3:$A$586,"=71",'ANALITIKA EU PROJEKATA'!$K$3:$K$586,"=547")</f>
        <v>0</v>
      </c>
      <c r="W68" s="138">
        <f>SUMIFS('Plan rashoda za unos u SAP'!$I$3:$I$525,'Plan rashoda za unos u SAP'!$C$3:$C$525,"=81",'Plan rashoda za unos u SAP'!$M$3:$M$525,"=547")+SUMIFS('ANALITIKA EU PROJEKATA'!$G$3:$G$586,'ANALITIKA EU PROJEKATA'!$A$3:$A$586,"=81",'ANALITIKA EU PROJEKATA'!$K$3:$K$586,"=547")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1906</v>
      </c>
      <c r="B70" s="93" t="s">
        <v>199</v>
      </c>
      <c r="C70" s="93" t="s">
        <v>200</v>
      </c>
      <c r="D70" s="2" t="s">
        <v>3494</v>
      </c>
      <c r="E70" s="2" t="s">
        <v>40</v>
      </c>
      <c r="F70" s="2" t="s">
        <v>317</v>
      </c>
      <c r="G70" s="93" t="s">
        <v>19</v>
      </c>
      <c r="H70" s="93" t="s">
        <v>1367</v>
      </c>
      <c r="I70" s="93" t="s">
        <v>20</v>
      </c>
      <c r="J70" s="93" t="s">
        <v>266</v>
      </c>
      <c r="K70" s="93" t="s">
        <v>267</v>
      </c>
      <c r="L70" s="93" t="s">
        <v>1368</v>
      </c>
      <c r="M70" s="93" t="s">
        <v>268</v>
      </c>
      <c r="N70" s="93" t="s">
        <v>269</v>
      </c>
      <c r="O70" s="93" t="s">
        <v>270</v>
      </c>
      <c r="P70" s="93" t="s">
        <v>1369</v>
      </c>
      <c r="Q70" s="93" t="s">
        <v>1370</v>
      </c>
      <c r="R70" s="93" t="s">
        <v>1902</v>
      </c>
      <c r="S70" s="93" t="s">
        <v>3479</v>
      </c>
      <c r="T70" s="93" t="s">
        <v>271</v>
      </c>
      <c r="U70" s="93" t="s">
        <v>272</v>
      </c>
      <c r="V70" s="93" t="s">
        <v>1344</v>
      </c>
      <c r="W70" s="93" t="s">
        <v>1343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348</v>
      </c>
      <c r="D71" s="120">
        <f t="shared" ref="D71:D88" si="22">SUM(E71:W71)</f>
        <v>206558608.17999998</v>
      </c>
      <c r="E71" s="121">
        <f t="shared" ref="E71:W71" si="23">+E72+E80+E86</f>
        <v>142712312.47</v>
      </c>
      <c r="F71" s="121">
        <f t="shared" si="23"/>
        <v>166223.03</v>
      </c>
      <c r="G71" s="121">
        <f t="shared" si="23"/>
        <v>13954418</v>
      </c>
      <c r="H71" s="121">
        <f>+H72+H80+H86</f>
        <v>0</v>
      </c>
      <c r="I71" s="121">
        <f t="shared" si="23"/>
        <v>17841269.029999997</v>
      </c>
      <c r="J71" s="121">
        <f t="shared" si="23"/>
        <v>2151760.98</v>
      </c>
      <c r="K71" s="121">
        <f t="shared" si="23"/>
        <v>28351177.530000001</v>
      </c>
      <c r="L71" s="121">
        <f>+L72+L80+L86</f>
        <v>0</v>
      </c>
      <c r="M71" s="121">
        <f t="shared" si="23"/>
        <v>0</v>
      </c>
      <c r="N71" s="121">
        <f t="shared" si="23"/>
        <v>456004.35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885442.78999999992</v>
      </c>
      <c r="U71" s="121">
        <f t="shared" si="23"/>
        <v>0</v>
      </c>
      <c r="V71" s="121">
        <f t="shared" si="23"/>
        <v>40000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184618314.43999997</v>
      </c>
      <c r="E72" s="130">
        <f t="shared" ref="E72:W72" si="24">SUM(E73:E79)</f>
        <v>141558406.88999999</v>
      </c>
      <c r="F72" s="130">
        <f t="shared" si="24"/>
        <v>164207.91</v>
      </c>
      <c r="G72" s="130">
        <f t="shared" si="24"/>
        <v>11723664</v>
      </c>
      <c r="H72" s="130">
        <f>SUM(H73:H79)</f>
        <v>0</v>
      </c>
      <c r="I72" s="130">
        <f t="shared" si="24"/>
        <v>16843688.029999997</v>
      </c>
      <c r="J72" s="130">
        <f t="shared" si="24"/>
        <v>2040783.73</v>
      </c>
      <c r="K72" s="130">
        <f t="shared" si="24"/>
        <v>11165542.32</v>
      </c>
      <c r="L72" s="130">
        <f>SUM(L73:L79)</f>
        <v>0</v>
      </c>
      <c r="M72" s="130">
        <f t="shared" si="24"/>
        <v>0</v>
      </c>
      <c r="N72" s="130">
        <f t="shared" si="24"/>
        <v>444585.35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637436.21</v>
      </c>
      <c r="U72" s="130">
        <f t="shared" si="24"/>
        <v>0</v>
      </c>
      <c r="V72" s="130">
        <f t="shared" si="24"/>
        <v>40000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135920228.24999997</v>
      </c>
      <c r="E73" s="138">
        <f>SUMIFS('Plan rashoda za unos u SAP'!$J$3:$J$525,'Plan rashoda za unos u SAP'!$C$3:$C$525,"=11",'Plan rashoda za unos u SAP'!$N$3:$N$525,"=31")+SUMIFS('ANALITIKA EU PROJEKATA'!$H$3:$H$586,'ANALITIKA EU PROJEKATA'!$A$3:$A$586,"=11",'ANALITIKA EU PROJEKATA'!$L$3:$L$586,"=31")</f>
        <v>121446419</v>
      </c>
      <c r="F73" s="138">
        <f>SUMIFS('Plan rashoda za unos u SAP'!$J$3:$J$525,'Plan rashoda za unos u SAP'!$C$3:$C$525,"=12",'Plan rashoda za unos u SAP'!$N$3:$N$525,"=31")+SUMIFS('ANALITIKA EU PROJEKATA'!$H$3:$H$586,'ANALITIKA EU PROJEKATA'!$A$3:$A$586,"=12",'ANALITIKA EU PROJEKATA'!$L$3:$L$586,"=31")</f>
        <v>11527.65</v>
      </c>
      <c r="G73" s="138">
        <f>SUMIFS('Plan rashoda za unos u SAP'!$J$3:$J$525,'Plan rashoda za unos u SAP'!$C$3:$C$525,"=31",'Plan rashoda za unos u SAP'!$N$3:$N$525,"=31")+SUMIFS('ANALITIKA EU PROJEKATA'!$H$3:$H$586,'ANALITIKA EU PROJEKATA'!$A$3:$A$586,"=31",'ANALITIKA EU PROJEKATA'!$L$3:$L$586,"=31")</f>
        <v>2386672</v>
      </c>
      <c r="H73" s="138">
        <f>SUMIFS('Plan rashoda za unos u SAP'!$J$3:$J$525,'Plan rashoda za unos u SAP'!$C$3:$C$525,"=41",'Plan rashoda za unos u SAP'!$N$3:$N$525,"=31")+SUMIFS('ANALITIKA EU PROJEKATA'!$H$3:$H$586,'ANALITIKA EU PROJEKATA'!$A$3:$A$586,"=41",'ANALITIKA EU PROJEKATA'!$L$3:$L$586,"=31")</f>
        <v>0</v>
      </c>
      <c r="I73" s="138">
        <f>SUMIFS('Plan rashoda za unos u SAP'!$J$3:$J$525,'Plan rashoda za unos u SAP'!$C$3:$C$525,"=43",'Plan rashoda za unos u SAP'!$N$3:$N$525,"=31")+SUMIFS('ANALITIKA EU PROJEKATA'!$H$3:$H$586,'ANALITIKA EU PROJEKATA'!$A$3:$A$586,"=43",'ANALITIKA EU PROJEKATA'!$L$3:$L$586,"=31")</f>
        <v>7885096.5199999996</v>
      </c>
      <c r="J73" s="138">
        <f>SUMIFS('Plan rashoda za unos u SAP'!$J$3:$J$525,'Plan rashoda za unos u SAP'!$C$3:$C$525,"=51",'Plan rashoda za unos u SAP'!$N$3:$N$525,"=31")+SUMIFS('ANALITIKA EU PROJEKATA'!$H$3:$H$586,'ANALITIKA EU PROJEKATA'!$A$3:$A$586,"=51",'ANALITIKA EU PROJEKATA'!$L$3:$L$586,"=31")</f>
        <v>1038496.8800000001</v>
      </c>
      <c r="K73" s="138">
        <f>SUMIFS('Plan rashoda za unos u SAP'!$J$3:$J$525,'Plan rashoda za unos u SAP'!$C$3:$C$525,"=52",'Plan rashoda za unos u SAP'!$N$3:$N$525,"=31")+SUMIFS('ANALITIKA EU PROJEKATA'!$H$3:$H$586,'ANALITIKA EU PROJEKATA'!$A$3:$A$586,"=52",'ANALITIKA EU PROJEKATA'!$L$3:$L$586,"=31")</f>
        <v>2666058.7799999998</v>
      </c>
      <c r="L73" s="138">
        <f>SUMIFS('Plan rashoda za unos u SAP'!$J$3:$J$525,'Plan rashoda za unos u SAP'!$C$3:$C$525,"=552",'Plan rashoda za unos u SAP'!$N$3:$N$525,"=31")+SUMIFS('ANALITIKA EU PROJEKATA'!$H$3:$H$586,'ANALITIKA EU PROJEKATA'!$A$3:$A$586,"=552",'ANALITIKA EU PROJEKATA'!$L$3:$L$586,"=31")</f>
        <v>0</v>
      </c>
      <c r="M73" s="138">
        <f>SUMIFS('Plan rashoda za unos u SAP'!$J$3:$J$525,'Plan rashoda za unos u SAP'!$C$3:$C$525,"=559",'Plan rashoda za unos u SAP'!$N$3:$N$525,"=31")+SUMIFS('ANALITIKA EU PROJEKATA'!$H$3:$H$586,'ANALITIKA EU PROJEKATA'!$A$3:$A$586,"=559",'ANALITIKA EU PROJEKATA'!$L$3:$L$586,"=31")</f>
        <v>0</v>
      </c>
      <c r="N73" s="138">
        <f>SUMIFS('Plan rashoda za unos u SAP'!$J$3:$J$525,'Plan rashoda za unos u SAP'!$C$3:$C$525,"=561",'Plan rashoda za unos u SAP'!$N$3:$N$525,"=31")+SUMIFS('ANALITIKA EU PROJEKATA'!$H$3:$H$586,'ANALITIKA EU PROJEKATA'!$A$3:$A$586,"=561",'ANALITIKA EU PROJEKATA'!$L$3:$L$586,"=31")</f>
        <v>65323.35</v>
      </c>
      <c r="O73" s="138">
        <f>SUMIFS('Plan rashoda za unos u SAP'!$J$3:$J$525,'Plan rashoda za unos u SAP'!$C$3:$C$525,"=563",'Plan rashoda za unos u SAP'!$N$3:$N$525,"=31")+SUMIFS('ANALITIKA EU PROJEKATA'!$H$3:$H$586,'ANALITIKA EU PROJEKATA'!$A$3:$A$586,"=563",'ANALITIKA EU PROJEKATA'!$L$3:$L$586,"=31")</f>
        <v>0</v>
      </c>
      <c r="P73" s="138">
        <f>SUMIFS('Plan rashoda za unos u SAP'!$J$3:$J$525,'Plan rashoda za unos u SAP'!$C$3:$C$525,"=573",'Plan rashoda za unos u SAP'!$N$3:$N$525,"=31")+SUMIFS('ANALITIKA EU PROJEKATA'!$H$3:$H$586,'ANALITIKA EU PROJEKATA'!$A$3:$A$586,"=573",'ANALITIKA EU PROJEKATA'!$L$3:$L$586,"=31")</f>
        <v>0</v>
      </c>
      <c r="Q73" s="138">
        <f>SUMIFS('Plan rashoda za unos u SAP'!$J$3:$J$525,'Plan rashoda za unos u SAP'!$C$3:$C$525,"=575",'Plan rashoda za unos u SAP'!$N$3:$N$525,"=31")+SUMIFS('ANALITIKA EU PROJEKATA'!$H$3:$H$586,'ANALITIKA EU PROJEKATA'!$A$3:$A$586,"=575",'ANALITIKA EU PROJEKATA'!$L$3:$L$586,"=31")</f>
        <v>0</v>
      </c>
      <c r="R73" s="138">
        <f>SUMIFS('Plan rashoda za unos u SAP'!$J$3:$J$525,'Plan rashoda za unos u SAP'!$C$3:$C$525,"=576",'Plan rashoda za unos u SAP'!$N$3:$N$525,"=31")+SUMIFS('ANALITIKA EU PROJEKATA'!$H$3:$H$586,'ANALITIKA EU PROJEKATA'!$A$3:$A$586,"=576",'ANALITIKA EU PROJEKATA'!$L$3:$L$586,"=31")</f>
        <v>0</v>
      </c>
      <c r="S73" s="138">
        <f>SUMIFS('Plan rashoda za unos u SAP'!$J$3:$J$525,'Plan rashoda za unos u SAP'!$C$3:$C$525,"=581",'Plan rashoda za unos u SAP'!$N$3:$N$525,"=31")+SUMIFS('ANALITIKA EU PROJEKATA'!$H$3:$H$586,'ANALITIKA EU PROJEKATA'!$A$3:$A$586,"=581",'ANALITIKA EU PROJEKATA'!$L$3:$L$586,"=31")</f>
        <v>0</v>
      </c>
      <c r="T73" s="138">
        <f>SUMIFS('Plan rashoda za unos u SAP'!$J$3:$J$525,'Plan rashoda za unos u SAP'!$C$3:$C$525,"=61",'Plan rashoda za unos u SAP'!$N$3:$N$525,"=31")+SUMIFS('ANALITIKA EU PROJEKATA'!$H$3:$H$586,'ANALITIKA EU PROJEKATA'!$A$3:$A$586,"=61",'ANALITIKA EU PROJEKATA'!$L$3:$L$586,"=31")</f>
        <v>420634.06999999995</v>
      </c>
      <c r="U73" s="138">
        <f>SUMIFS('Plan rashoda za unos u SAP'!$J$3:$J$525,'Plan rashoda za unos u SAP'!$C$3:$C$525,"=63",'Plan rashoda za unos u SAP'!$N$3:$N$525,"=31")+SUMIFS('ANALITIKA EU PROJEKATA'!$H$3:$H$586,'ANALITIKA EU PROJEKATA'!$A$3:$A$586,"=63",'ANALITIKA EU PROJEKATA'!$L$3:$L$586,"=31")</f>
        <v>0</v>
      </c>
      <c r="V73" s="138">
        <f>SUMIFS('Plan rashoda za unos u SAP'!$J$3:$J$525,'Plan rashoda za unos u SAP'!$C$3:$C$525,"=71",'Plan rashoda za unos u SAP'!$N$3:$N$525,"=31")+SUMIFS('ANALITIKA EU PROJEKATA'!$H$3:$H$586,'ANALITIKA EU PROJEKATA'!$A$3:$A$586,"=71",'ANALITIKA EU PROJEKATA'!$L$3:$L$586,"=31")</f>
        <v>0</v>
      </c>
      <c r="W73" s="138">
        <f>SUMIFS('Plan rashoda za unos u SAP'!$J$3:$J$525,'Plan rashoda za unos u SAP'!$C$3:$C$525,"=81",'Plan rashoda za unos u SAP'!$N$3:$N$525,"=31")+SUMIFS('ANALITIKA EU PROJEKATA'!$H$3:$H$586,'ANALITIKA EU PROJEKATA'!$A$3:$A$586,"=81",'ANALITIKA EU PROJEKATA'!$L$3:$L$586,"=31")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36925131.660000004</v>
      </c>
      <c r="E74" s="138">
        <f>SUMIFS('Plan rashoda za unos u SAP'!$J$3:$J$525,'Plan rashoda za unos u SAP'!$C$3:$C$525,"=11",'Plan rashoda za unos u SAP'!$N$3:$N$525,"=32")+SUMIFS('ANALITIKA EU PROJEKATA'!$H$3:$H$586,'ANALITIKA EU PROJEKATA'!$A$3:$A$586,"=11",'ANALITIKA EU PROJEKATA'!$L$3:$L$586,"=32")</f>
        <v>13096433.570000002</v>
      </c>
      <c r="F74" s="138">
        <f>SUMIFS('Plan rashoda za unos u SAP'!$J$3:$J$525,'Plan rashoda za unos u SAP'!$C$3:$C$525,"=12",'Plan rashoda za unos u SAP'!$N$3:$N$525,"=32")+SUMIFS('ANALITIKA EU PROJEKATA'!$H$3:$H$586,'ANALITIKA EU PROJEKATA'!$A$3:$A$586,"=12",'ANALITIKA EU PROJEKATA'!$L$3:$L$586,"=32")</f>
        <v>85690.55</v>
      </c>
      <c r="G74" s="138">
        <f>SUMIFS('Plan rashoda za unos u SAP'!$J$3:$J$525,'Plan rashoda za unos u SAP'!$C$3:$C$525,"=31",'Plan rashoda za unos u SAP'!$N$3:$N$525,"=32")+SUMIFS('ANALITIKA EU PROJEKATA'!$H$3:$H$586,'ANALITIKA EU PROJEKATA'!$A$3:$A$586,"=31",'ANALITIKA EU PROJEKATA'!$L$3:$L$586,"=32")</f>
        <v>9134937</v>
      </c>
      <c r="H74" s="138">
        <f>SUMIFS('Plan rashoda za unos u SAP'!$J$3:$J$525,'Plan rashoda za unos u SAP'!$C$3:$C$525,"=41",'Plan rashoda za unos u SAP'!$N$3:$N$525,"=32")+SUMIFS('ANALITIKA EU PROJEKATA'!$H$3:$H$586,'ANALITIKA EU PROJEKATA'!$A$3:$A$586,"=41",'ANALITIKA EU PROJEKATA'!$L$3:$L$586,"=32")</f>
        <v>0</v>
      </c>
      <c r="I74" s="138">
        <f>SUMIFS('Plan rashoda za unos u SAP'!$J$3:$J$525,'Plan rashoda za unos u SAP'!$C$3:$C$525,"=43",'Plan rashoda za unos u SAP'!$N$3:$N$525,"=32")+SUMIFS('ANALITIKA EU PROJEKATA'!$H$3:$H$586,'ANALITIKA EU PROJEKATA'!$A$3:$A$586,"=43",'ANALITIKA EU PROJEKATA'!$L$3:$L$586,"=32")</f>
        <v>8519770.5099999979</v>
      </c>
      <c r="J74" s="138">
        <f>SUMIFS('Plan rashoda za unos u SAP'!$J$3:$J$525,'Plan rashoda za unos u SAP'!$C$3:$C$525,"=51",'Plan rashoda za unos u SAP'!$N$3:$N$525,"=32")+SUMIFS('ANALITIKA EU PROJEKATA'!$H$3:$H$586,'ANALITIKA EU PROJEKATA'!$A$3:$A$586,"=51",'ANALITIKA EU PROJEKATA'!$L$3:$L$586,"=32")</f>
        <v>1002259.0999999999</v>
      </c>
      <c r="K74" s="138">
        <f>SUMIFS('Plan rashoda za unos u SAP'!$J$3:$J$525,'Plan rashoda za unos u SAP'!$C$3:$C$525,"=52",'Plan rashoda za unos u SAP'!$N$3:$N$525,"=32")+SUMIFS('ANALITIKA EU PROJEKATA'!$H$3:$H$586,'ANALITIKA EU PROJEKATA'!$A$3:$A$586,"=52",'ANALITIKA EU PROJEKATA'!$L$3:$L$586,"=32")</f>
        <v>4855265.4700000007</v>
      </c>
      <c r="L74" s="138">
        <f>SUMIFS('Plan rashoda za unos u SAP'!$J$3:$J$525,'Plan rashoda za unos u SAP'!$C$3:$C$525,"=552",'Plan rashoda za unos u SAP'!$N$3:$N$525,"=32")+SUMIFS('ANALITIKA EU PROJEKATA'!$H$3:$H$586,'ANALITIKA EU PROJEKATA'!$A$3:$A$586,"=552",'ANALITIKA EU PROJEKATA'!$L$3:$L$586,"=32")</f>
        <v>0</v>
      </c>
      <c r="M74" s="138">
        <f>SUMIFS('Plan rashoda za unos u SAP'!$J$3:$J$525,'Plan rashoda za unos u SAP'!$C$3:$C$525,"=559",'Plan rashoda za unos u SAP'!$N$3:$N$525,"=32")+SUMIFS('ANALITIKA EU PROJEKATA'!$H$3:$H$586,'ANALITIKA EU PROJEKATA'!$A$3:$A$586,"=559",'ANALITIKA EU PROJEKATA'!$L$3:$L$586,"=32")</f>
        <v>0</v>
      </c>
      <c r="N74" s="138">
        <f>SUMIFS('Plan rashoda za unos u SAP'!$J$3:$J$525,'Plan rashoda za unos u SAP'!$C$3:$C$525,"=561",'Plan rashoda za unos u SAP'!$N$3:$N$525,"=32")+SUMIFS('ANALITIKA EU PROJEKATA'!$H$3:$H$586,'ANALITIKA EU PROJEKATA'!$A$3:$A$586,"=561",'ANALITIKA EU PROJEKATA'!$L$3:$L$586,"=32")</f>
        <v>0</v>
      </c>
      <c r="O74" s="138">
        <f>SUMIFS('Plan rashoda za unos u SAP'!$J$3:$J$525,'Plan rashoda za unos u SAP'!$C$3:$C$525,"=563",'Plan rashoda za unos u SAP'!$N$3:$N$525,"=32")+SUMIFS('ANALITIKA EU PROJEKATA'!$H$3:$H$586,'ANALITIKA EU PROJEKATA'!$A$3:$A$586,"=563",'ANALITIKA EU PROJEKATA'!$L$3:$L$586,"=32")</f>
        <v>0</v>
      </c>
      <c r="P74" s="138">
        <f>SUMIFS('Plan rashoda za unos u SAP'!$J$3:$J$525,'Plan rashoda za unos u SAP'!$C$3:$C$525,"=573",'Plan rashoda za unos u SAP'!$N$3:$N$525,"=32")+SUMIFS('ANALITIKA EU PROJEKATA'!$H$3:$H$586,'ANALITIKA EU PROJEKATA'!$A$3:$A$586,"=573",'ANALITIKA EU PROJEKATA'!$L$3:$L$586,"=32")</f>
        <v>0</v>
      </c>
      <c r="Q74" s="138">
        <f>SUMIFS('Plan rashoda za unos u SAP'!$J$3:$J$525,'Plan rashoda za unos u SAP'!$C$3:$C$525,"=575",'Plan rashoda za unos u SAP'!$N$3:$N$525,"=32")+SUMIFS('ANALITIKA EU PROJEKATA'!$H$3:$H$586,'ANALITIKA EU PROJEKATA'!$A$3:$A$586,"=575",'ANALITIKA EU PROJEKATA'!$L$3:$L$586,"=32")</f>
        <v>0</v>
      </c>
      <c r="R74" s="138">
        <f>SUMIFS('Plan rashoda za unos u SAP'!$J$3:$J$525,'Plan rashoda za unos u SAP'!$C$3:$C$525,"=576",'Plan rashoda za unos u SAP'!$N$3:$N$525,"=32")+SUMIFS('ANALITIKA EU PROJEKATA'!$H$3:$H$586,'ANALITIKA EU PROJEKATA'!$A$3:$A$586,"=576",'ANALITIKA EU PROJEKATA'!$L$3:$L$586,"=32")</f>
        <v>0</v>
      </c>
      <c r="S74" s="138">
        <f>SUMIFS('Plan rashoda za unos u SAP'!$J$3:$J$525,'Plan rashoda za unos u SAP'!$C$3:$C$525,"=581",'Plan rashoda za unos u SAP'!$N$3:$N$525,"=32")+SUMIFS('ANALITIKA EU PROJEKATA'!$H$3:$H$586,'ANALITIKA EU PROJEKATA'!$A$3:$A$586,"=581",'ANALITIKA EU PROJEKATA'!$L$3:$L$586,"=32")</f>
        <v>0</v>
      </c>
      <c r="T74" s="138">
        <f>SUMIFS('Plan rashoda za unos u SAP'!$J$3:$J$525,'Plan rashoda za unos u SAP'!$C$3:$C$525,"=61",'Plan rashoda za unos u SAP'!$N$3:$N$525,"=32")+SUMIFS('ANALITIKA EU PROJEKATA'!$H$3:$H$586,'ANALITIKA EU PROJEKATA'!$A$3:$A$586,"=61",'ANALITIKA EU PROJEKATA'!$L$3:$L$586,"=32")</f>
        <v>190775.46</v>
      </c>
      <c r="U74" s="138">
        <f>SUMIFS('Plan rashoda za unos u SAP'!$J$3:$J$525,'Plan rashoda za unos u SAP'!$C$3:$C$525,"=63",'Plan rashoda za unos u SAP'!$N$3:$N$525,"=32")+SUMIFS('ANALITIKA EU PROJEKATA'!$H$3:$H$586,'ANALITIKA EU PROJEKATA'!$A$3:$A$586,"=63",'ANALITIKA EU PROJEKATA'!$L$3:$L$586,"=32")</f>
        <v>0</v>
      </c>
      <c r="V74" s="138">
        <f>SUMIFS('Plan rashoda za unos u SAP'!$J$3:$J$525,'Plan rashoda za unos u SAP'!$C$3:$C$525,"=71",'Plan rashoda za unos u SAP'!$N$3:$N$525,"=32")+SUMIFS('ANALITIKA EU PROJEKATA'!$H$3:$H$586,'ANALITIKA EU PROJEKATA'!$A$3:$A$586,"=71",'ANALITIKA EU PROJEKATA'!$L$3:$L$586,"=32")</f>
        <v>40000</v>
      </c>
      <c r="W74" s="138">
        <f>SUMIFS('Plan rashoda za unos u SAP'!$J$3:$J$525,'Plan rashoda za unos u SAP'!$C$3:$C$525,"=81",'Plan rashoda za unos u SAP'!$N$3:$N$525,"=32")+SUMIFS('ANALITIKA EU PROJEKATA'!$H$3:$H$586,'ANALITIKA EU PROJEKATA'!$A$3:$A$586,"=81",'ANALITIKA EU PROJEKATA'!$L$3:$L$586,"=32")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186568.86</v>
      </c>
      <c r="E75" s="138">
        <f>SUMIFS('Plan rashoda za unos u SAP'!$J$3:$J$525,'Plan rashoda za unos u SAP'!$C$3:$C$525,"=11",'Plan rashoda za unos u SAP'!$N$3:$N$525,"=34")+SUMIFS('ANALITIKA EU PROJEKATA'!$H$3:$H$586,'ANALITIKA EU PROJEKATA'!$A$3:$A$586,"=11",'ANALITIKA EU PROJEKATA'!$L$3:$L$586,"=34")</f>
        <v>113554.31999999999</v>
      </c>
      <c r="F75" s="138">
        <f>SUMIFS('Plan rashoda za unos u SAP'!$J$3:$J$525,'Plan rashoda za unos u SAP'!$C$3:$C$525,"=12",'Plan rashoda za unos u SAP'!$N$3:$N$525,"=34")+SUMIFS('ANALITIKA EU PROJEKATA'!$H$3:$H$586,'ANALITIKA EU PROJEKATA'!$A$3:$A$586,"=12",'ANALITIKA EU PROJEKATA'!$L$3:$L$586,"=34")</f>
        <v>61.11</v>
      </c>
      <c r="G75" s="138">
        <f>SUMIFS('Plan rashoda za unos u SAP'!$J$3:$J$525,'Plan rashoda za unos u SAP'!$C$3:$C$525,"=31",'Plan rashoda za unos u SAP'!$N$3:$N$525,"=34")+SUMIFS('ANALITIKA EU PROJEKATA'!$H$3:$H$586,'ANALITIKA EU PROJEKATA'!$A$3:$A$586,"=31",'ANALITIKA EU PROJEKATA'!$L$3:$L$586,"=34")</f>
        <v>31655</v>
      </c>
      <c r="H75" s="138">
        <f>SUMIFS('Plan rashoda za unos u SAP'!$J$3:$J$525,'Plan rashoda za unos u SAP'!$C$3:$C$525,"=41",'Plan rashoda za unos u SAP'!$N$3:$N$525,"=34")+SUMIFS('ANALITIKA EU PROJEKATA'!$H$3:$H$586,'ANALITIKA EU PROJEKATA'!$A$3:$A$586,"=41",'ANALITIKA EU PROJEKATA'!$L$3:$L$586,"=34")</f>
        <v>0</v>
      </c>
      <c r="I75" s="138">
        <f>SUMIFS('Plan rashoda za unos u SAP'!$J$3:$J$525,'Plan rashoda za unos u SAP'!$C$3:$C$525,"=43",'Plan rashoda za unos u SAP'!$N$3:$N$525,"=34")+SUMIFS('ANALITIKA EU PROJEKATA'!$H$3:$H$586,'ANALITIKA EU PROJEKATA'!$A$3:$A$586,"=43",'ANALITIKA EU PROJEKATA'!$L$3:$L$586,"=34")</f>
        <v>40168</v>
      </c>
      <c r="J75" s="138">
        <f>SUMIFS('Plan rashoda za unos u SAP'!$J$3:$J$525,'Plan rashoda za unos u SAP'!$C$3:$C$525,"=51",'Plan rashoda za unos u SAP'!$N$3:$N$525,"=34")+SUMIFS('ANALITIKA EU PROJEKATA'!$H$3:$H$586,'ANALITIKA EU PROJEKATA'!$A$3:$A$586,"=51",'ANALITIKA EU PROJEKATA'!$L$3:$L$586,"=34")</f>
        <v>27.75</v>
      </c>
      <c r="K75" s="138">
        <f>SUMIFS('Plan rashoda za unos u SAP'!$J$3:$J$525,'Plan rashoda za unos u SAP'!$C$3:$C$525,"=52",'Plan rashoda za unos u SAP'!$N$3:$N$525,"=34")+SUMIFS('ANALITIKA EU PROJEKATA'!$H$3:$H$586,'ANALITIKA EU PROJEKATA'!$A$3:$A$586,"=52",'ANALITIKA EU PROJEKATA'!$L$3:$L$586,"=34")</f>
        <v>80</v>
      </c>
      <c r="L75" s="138">
        <f>SUMIFS('Plan rashoda za unos u SAP'!$J$3:$J$525,'Plan rashoda za unos u SAP'!$C$3:$C$525,"=552",'Plan rashoda za unos u SAP'!$N$3:$N$525,"=34")+SUMIFS('ANALITIKA EU PROJEKATA'!$H$3:$H$586,'ANALITIKA EU PROJEKATA'!$A$3:$A$586,"=552",'ANALITIKA EU PROJEKATA'!$L$3:$L$586,"=34")</f>
        <v>0</v>
      </c>
      <c r="M75" s="138">
        <f>SUMIFS('Plan rashoda za unos u SAP'!$J$3:$J$525,'Plan rashoda za unos u SAP'!$C$3:$C$525,"=559",'Plan rashoda za unos u SAP'!$N$3:$N$525,"=34")+SUMIFS('ANALITIKA EU PROJEKATA'!$H$3:$H$586,'ANALITIKA EU PROJEKATA'!$A$3:$A$586,"=559",'ANALITIKA EU PROJEKATA'!$L$3:$L$586,"=34")</f>
        <v>0</v>
      </c>
      <c r="N75" s="138">
        <f>SUMIFS('Plan rashoda za unos u SAP'!$J$3:$J$525,'Plan rashoda za unos u SAP'!$C$3:$C$525,"=561",'Plan rashoda za unos u SAP'!$N$3:$N$525,"=34")+SUMIFS('ANALITIKA EU PROJEKATA'!$H$3:$H$586,'ANALITIKA EU PROJEKATA'!$A$3:$A$586,"=561",'ANALITIKA EU PROJEKATA'!$L$3:$L$586,"=34")</f>
        <v>0</v>
      </c>
      <c r="O75" s="138">
        <f>SUMIFS('Plan rashoda za unos u SAP'!$J$3:$J$525,'Plan rashoda za unos u SAP'!$C$3:$C$525,"=563",'Plan rashoda za unos u SAP'!$N$3:$N$525,"=34")+SUMIFS('ANALITIKA EU PROJEKATA'!$H$3:$H$586,'ANALITIKA EU PROJEKATA'!$A$3:$A$586,"=563",'ANALITIKA EU PROJEKATA'!$L$3:$L$586,"=34")</f>
        <v>0</v>
      </c>
      <c r="P75" s="138">
        <f>SUMIFS('Plan rashoda za unos u SAP'!$J$3:$J$525,'Plan rashoda za unos u SAP'!$C$3:$C$525,"=573",'Plan rashoda za unos u SAP'!$N$3:$N$525,"=34")+SUMIFS('ANALITIKA EU PROJEKATA'!$H$3:$H$586,'ANALITIKA EU PROJEKATA'!$A$3:$A$586,"=573",'ANALITIKA EU PROJEKATA'!$L$3:$L$586,"=34")</f>
        <v>0</v>
      </c>
      <c r="Q75" s="138">
        <f>SUMIFS('Plan rashoda za unos u SAP'!$J$3:$J$525,'Plan rashoda za unos u SAP'!$C$3:$C$525,"=575",'Plan rashoda za unos u SAP'!$N$3:$N$525,"=34")+SUMIFS('ANALITIKA EU PROJEKATA'!$H$3:$H$586,'ANALITIKA EU PROJEKATA'!$A$3:$A$586,"=575",'ANALITIKA EU PROJEKATA'!$L$3:$L$586,"=34")</f>
        <v>0</v>
      </c>
      <c r="R75" s="138">
        <f>SUMIFS('Plan rashoda za unos u SAP'!$J$3:$J$525,'Plan rashoda za unos u SAP'!$C$3:$C$525,"=576",'Plan rashoda za unos u SAP'!$N$3:$N$525,"=34")+SUMIFS('ANALITIKA EU PROJEKATA'!$H$3:$H$586,'ANALITIKA EU PROJEKATA'!$A$3:$A$586,"=576",'ANALITIKA EU PROJEKATA'!$L$3:$L$586,"=34")</f>
        <v>0</v>
      </c>
      <c r="S75" s="138">
        <f>SUMIFS('Plan rashoda za unos u SAP'!$J$3:$J$525,'Plan rashoda za unos u SAP'!$C$3:$C$525,"=581",'Plan rashoda za unos u SAP'!$N$3:$N$525,"=34")+SUMIFS('ANALITIKA EU PROJEKATA'!$H$3:$H$586,'ANALITIKA EU PROJEKATA'!$A$3:$A$586,"=581",'ANALITIKA EU PROJEKATA'!$L$3:$L$586,"=34")</f>
        <v>0</v>
      </c>
      <c r="T75" s="138">
        <f>SUMIFS('Plan rashoda za unos u SAP'!$J$3:$J$525,'Plan rashoda za unos u SAP'!$C$3:$C$525,"=61",'Plan rashoda za unos u SAP'!$N$3:$N$525,"=34")+SUMIFS('ANALITIKA EU PROJEKATA'!$H$3:$H$586,'ANALITIKA EU PROJEKATA'!$A$3:$A$586,"=61",'ANALITIKA EU PROJEKATA'!$L$3:$L$586,"=34")</f>
        <v>1022.68</v>
      </c>
      <c r="U75" s="138">
        <f>SUMIFS('Plan rashoda za unos u SAP'!$J$3:$J$525,'Plan rashoda za unos u SAP'!$C$3:$C$525,"=63",'Plan rashoda za unos u SAP'!$N$3:$N$525,"=34")+SUMIFS('ANALITIKA EU PROJEKATA'!$H$3:$H$586,'ANALITIKA EU PROJEKATA'!$A$3:$A$586,"=63",'ANALITIKA EU PROJEKATA'!$L$3:$L$586,"=34")</f>
        <v>0</v>
      </c>
      <c r="V75" s="138">
        <f>SUMIFS('Plan rashoda za unos u SAP'!$J$3:$J$525,'Plan rashoda za unos u SAP'!$C$3:$C$525,"=71",'Plan rashoda za unos u SAP'!$N$3:$N$525,"=34")+SUMIFS('ANALITIKA EU PROJEKATA'!$H$3:$H$586,'ANALITIKA EU PROJEKATA'!$A$3:$A$586,"=71",'ANALITIKA EU PROJEKATA'!$L$3:$L$586,"=34")</f>
        <v>0</v>
      </c>
      <c r="W75" s="138">
        <f>SUMIFS('Plan rashoda za unos u SAP'!$J$3:$J$525,'Plan rashoda za unos u SAP'!$C$3:$C$525,"=81",'Plan rashoda za unos u SAP'!$N$3:$N$525,"=34")+SUMIFS('ANALITIKA EU PROJEKATA'!$H$3:$H$586,'ANALITIKA EU PROJEKATA'!$A$3:$A$586,"=81",'ANALITIKA EU PROJEKATA'!$L$3:$L$586,"=34")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320</v>
      </c>
      <c r="D76" s="133">
        <f t="shared" si="22"/>
        <v>79106.259999999995</v>
      </c>
      <c r="E76" s="138">
        <f>SUMIFS('Plan rashoda za unos u SAP'!$J$3:$J$525,'Plan rashoda za unos u SAP'!$C$3:$C$525,"=11",'Plan rashoda za unos u SAP'!$N$3:$N$525,"=35")+SUMIFS('ANALITIKA EU PROJEKATA'!$H$3:$H$586,'ANALITIKA EU PROJEKATA'!$A$3:$A$586,"=11",'ANALITIKA EU PROJEKATA'!$L$3:$L$586,"=35")</f>
        <v>0</v>
      </c>
      <c r="F76" s="138">
        <f>SUMIFS('Plan rashoda za unos u SAP'!$J$3:$J$525,'Plan rashoda za unos u SAP'!$C$3:$C$525,"=12",'Plan rashoda za unos u SAP'!$N$3:$N$525,"=35")+SUMIFS('ANALITIKA EU PROJEKATA'!$H$3:$H$586,'ANALITIKA EU PROJEKATA'!$A$3:$A$586,"=12",'ANALITIKA EU PROJEKATA'!$L$3:$L$586,"=35")</f>
        <v>0</v>
      </c>
      <c r="G76" s="138">
        <f>SUMIFS('Plan rashoda za unos u SAP'!$J$3:$J$525,'Plan rashoda za unos u SAP'!$C$3:$C$525,"=31",'Plan rashoda za unos u SAP'!$N$3:$N$525,"=35")+SUMIFS('ANALITIKA EU PROJEKATA'!$H$3:$H$586,'ANALITIKA EU PROJEKATA'!$A$3:$A$586,"=31",'ANALITIKA EU PROJEKATA'!$L$3:$L$586,"=35")</f>
        <v>0</v>
      </c>
      <c r="H76" s="138">
        <f>SUMIFS('Plan rashoda za unos u SAP'!$J$3:$J$525,'Plan rashoda za unos u SAP'!$C$3:$C$525,"=41",'Plan rashoda za unos u SAP'!$N$3:$N$525,"=35")+SUMIFS('ANALITIKA EU PROJEKATA'!$H$3:$H$586,'ANALITIKA EU PROJEKATA'!$A$3:$A$586,"=41",'ANALITIKA EU PROJEKATA'!$L$3:$L$586,"=35")</f>
        <v>0</v>
      </c>
      <c r="I76" s="138">
        <f>SUMIFS('Plan rashoda za unos u SAP'!$J$3:$J$525,'Plan rashoda za unos u SAP'!$C$3:$C$525,"=43",'Plan rashoda za unos u SAP'!$N$3:$N$525,"=35")+SUMIFS('ANALITIKA EU PROJEKATA'!$H$3:$H$586,'ANALITIKA EU PROJEKATA'!$A$3:$A$586,"=43",'ANALITIKA EU PROJEKATA'!$L$3:$L$586,"=35")</f>
        <v>0</v>
      </c>
      <c r="J76" s="138">
        <f>SUMIFS('Plan rashoda za unos u SAP'!$J$3:$J$525,'Plan rashoda za unos u SAP'!$C$3:$C$525,"=51",'Plan rashoda za unos u SAP'!$N$3:$N$525,"=35")+SUMIFS('ANALITIKA EU PROJEKATA'!$H$3:$H$586,'ANALITIKA EU PROJEKATA'!$A$3:$A$586,"=51",'ANALITIKA EU PROJEKATA'!$L$3:$L$586,"=35")</f>
        <v>0</v>
      </c>
      <c r="K76" s="138">
        <f>SUMIFS('Plan rashoda za unos u SAP'!$J$3:$J$525,'Plan rashoda za unos u SAP'!$C$3:$C$525,"=52",'Plan rashoda za unos u SAP'!$N$3:$N$525,"=35")+SUMIFS('ANALITIKA EU PROJEKATA'!$H$3:$H$586,'ANALITIKA EU PROJEKATA'!$A$3:$A$586,"=52",'ANALITIKA EU PROJEKATA'!$L$3:$L$586,"=35")</f>
        <v>79106.259999999995</v>
      </c>
      <c r="L76" s="138">
        <f>SUMIFS('Plan rashoda za unos u SAP'!$J$3:$J$525,'Plan rashoda za unos u SAP'!$C$3:$C$525,"=552",'Plan rashoda za unos u SAP'!$N$3:$N$525,"=35")+SUMIFS('ANALITIKA EU PROJEKATA'!$H$3:$H$586,'ANALITIKA EU PROJEKATA'!$A$3:$A$586,"=552",'ANALITIKA EU PROJEKATA'!$L$3:$L$586,"=35")</f>
        <v>0</v>
      </c>
      <c r="M76" s="138">
        <f>SUMIFS('Plan rashoda za unos u SAP'!$J$3:$J$525,'Plan rashoda za unos u SAP'!$C$3:$C$525,"=559",'Plan rashoda za unos u SAP'!$N$3:$N$525,"=35")+SUMIFS('ANALITIKA EU PROJEKATA'!$H$3:$H$586,'ANALITIKA EU PROJEKATA'!$A$3:$A$586,"=559",'ANALITIKA EU PROJEKATA'!$L$3:$L$586,"=35")</f>
        <v>0</v>
      </c>
      <c r="N76" s="138">
        <f>SUMIFS('Plan rashoda za unos u SAP'!$J$3:$J$525,'Plan rashoda za unos u SAP'!$C$3:$C$525,"=561",'Plan rashoda za unos u SAP'!$N$3:$N$525,"=35")+SUMIFS('ANALITIKA EU PROJEKATA'!$H$3:$H$586,'ANALITIKA EU PROJEKATA'!$A$3:$A$586,"=561",'ANALITIKA EU PROJEKATA'!$L$3:$L$586,"=35")</f>
        <v>0</v>
      </c>
      <c r="O76" s="138">
        <f>SUMIFS('Plan rashoda za unos u SAP'!$J$3:$J$525,'Plan rashoda za unos u SAP'!$C$3:$C$525,"=563",'Plan rashoda za unos u SAP'!$N$3:$N$525,"=35")+SUMIFS('ANALITIKA EU PROJEKATA'!$H$3:$H$586,'ANALITIKA EU PROJEKATA'!$A$3:$A$586,"=563",'ANALITIKA EU PROJEKATA'!$L$3:$L$586,"=35")</f>
        <v>0</v>
      </c>
      <c r="P76" s="138">
        <f>SUMIFS('Plan rashoda za unos u SAP'!$J$3:$J$525,'Plan rashoda za unos u SAP'!$C$3:$C$525,"=573",'Plan rashoda za unos u SAP'!$N$3:$N$525,"=35")+SUMIFS('ANALITIKA EU PROJEKATA'!$H$3:$H$586,'ANALITIKA EU PROJEKATA'!$A$3:$A$586,"=573",'ANALITIKA EU PROJEKATA'!$L$3:$L$586,"=35")</f>
        <v>0</v>
      </c>
      <c r="Q76" s="138">
        <f>SUMIFS('Plan rashoda za unos u SAP'!$J$3:$J$525,'Plan rashoda za unos u SAP'!$C$3:$C$525,"=575",'Plan rashoda za unos u SAP'!$N$3:$N$525,"=35")+SUMIFS('ANALITIKA EU PROJEKATA'!$H$3:$H$586,'ANALITIKA EU PROJEKATA'!$A$3:$A$586,"=575",'ANALITIKA EU PROJEKATA'!$L$3:$L$586,"=35")</f>
        <v>0</v>
      </c>
      <c r="R76" s="138">
        <f>SUMIFS('Plan rashoda za unos u SAP'!$J$3:$J$525,'Plan rashoda za unos u SAP'!$C$3:$C$525,"=576",'Plan rashoda za unos u SAP'!$N$3:$N$525,"=35")+SUMIFS('ANALITIKA EU PROJEKATA'!$H$3:$H$586,'ANALITIKA EU PROJEKATA'!$A$3:$A$586,"=576",'ANALITIKA EU PROJEKATA'!$L$3:$L$586,"=35")</f>
        <v>0</v>
      </c>
      <c r="S76" s="138">
        <f>SUMIFS('Plan rashoda za unos u SAP'!$J$3:$J$525,'Plan rashoda za unos u SAP'!$C$3:$C$525,"=581",'Plan rashoda za unos u SAP'!$N$3:$N$525,"=35")+SUMIFS('ANALITIKA EU PROJEKATA'!$H$3:$H$586,'ANALITIKA EU PROJEKATA'!$A$3:$A$586,"=581",'ANALITIKA EU PROJEKATA'!$L$3:$L$586,"=35")</f>
        <v>0</v>
      </c>
      <c r="T76" s="138">
        <f>SUMIFS('Plan rashoda za unos u SAP'!$J$3:$J$525,'Plan rashoda za unos u SAP'!$C$3:$C$525,"=61",'Plan rashoda za unos u SAP'!$N$3:$N$525,"=35")+SUMIFS('ANALITIKA EU PROJEKATA'!$H$3:$H$586,'ANALITIKA EU PROJEKATA'!$A$3:$A$586,"=61",'ANALITIKA EU PROJEKATA'!$L$3:$L$586,"=35")</f>
        <v>0</v>
      </c>
      <c r="U76" s="138">
        <f>SUMIFS('Plan rashoda za unos u SAP'!$J$3:$J$525,'Plan rashoda za unos u SAP'!$C$3:$C$525,"=63",'Plan rashoda za unos u SAP'!$N$3:$N$525,"=35")+SUMIFS('ANALITIKA EU PROJEKATA'!$H$3:$H$586,'ANALITIKA EU PROJEKATA'!$A$3:$A$586,"=63",'ANALITIKA EU PROJEKATA'!$L$3:$L$586,"=35")</f>
        <v>0</v>
      </c>
      <c r="V76" s="138">
        <f>SUMIFS('Plan rashoda za unos u SAP'!$J$3:$J$525,'Plan rashoda za unos u SAP'!$C$3:$C$525,"=71",'Plan rashoda za unos u SAP'!$N$3:$N$525,"=35")+SUMIFS('ANALITIKA EU PROJEKATA'!$H$3:$H$586,'ANALITIKA EU PROJEKATA'!$A$3:$A$586,"=71",'ANALITIKA EU PROJEKATA'!$L$3:$L$586,"=35")</f>
        <v>0</v>
      </c>
      <c r="W76" s="138">
        <f>SUMIFS('Plan rashoda za unos u SAP'!$J$3:$J$525,'Plan rashoda za unos u SAP'!$C$3:$C$525,"=81",'Plan rashoda za unos u SAP'!$N$3:$N$525,"=35")+SUMIFS('ANALITIKA EU PROJEKATA'!$H$3:$H$586,'ANALITIKA EU PROJEKATA'!$A$3:$A$586,"=81",'ANALITIKA EU PROJEKATA'!$L$3:$L$586,"=35")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446190.6</v>
      </c>
      <c r="E77" s="138">
        <f>SUMIFS('Plan rashoda za unos u SAP'!$J$3:$J$525,'Plan rashoda za unos u SAP'!$C$3:$C$525,"=11",'Plan rashoda za unos u SAP'!$N$3:$N$525,"=36")+SUMIFS('ANALITIKA EU PROJEKATA'!$H$3:$H$586,'ANALITIKA EU PROJEKATA'!$A$3:$A$586,"=11",'ANALITIKA EU PROJEKATA'!$L$3:$L$586,"=36")</f>
        <v>0</v>
      </c>
      <c r="F77" s="138">
        <f>SUMIFS('Plan rashoda za unos u SAP'!$J$3:$J$525,'Plan rashoda za unos u SAP'!$C$3:$C$525,"=12",'Plan rashoda za unos u SAP'!$N$3:$N$525,"=36")+SUMIFS('ANALITIKA EU PROJEKATA'!$H$3:$H$586,'ANALITIKA EU PROJEKATA'!$A$3:$A$586,"=12",'ANALITIKA EU PROJEKATA'!$L$3:$L$586,"=36")</f>
        <v>66928.600000000006</v>
      </c>
      <c r="G77" s="138">
        <f>SUMIFS('Plan rashoda za unos u SAP'!$J$3:$J$525,'Plan rashoda za unos u SAP'!$C$3:$C$525,"=31",'Plan rashoda za unos u SAP'!$N$3:$N$525,"=36")+SUMIFS('ANALITIKA EU PROJEKATA'!$H$3:$H$586,'ANALITIKA EU PROJEKATA'!$A$3:$A$586,"=31",'ANALITIKA EU PROJEKATA'!$L$3:$L$586,"=36")</f>
        <v>0</v>
      </c>
      <c r="H77" s="138">
        <f>SUMIFS('Plan rashoda za unos u SAP'!$J$3:$J$525,'Plan rashoda za unos u SAP'!$C$3:$C$525,"=41",'Plan rashoda za unos u SAP'!$N$3:$N$525,"=36")+SUMIFS('ANALITIKA EU PROJEKATA'!$H$3:$H$586,'ANALITIKA EU PROJEKATA'!$A$3:$A$586,"=41",'ANALITIKA EU PROJEKATA'!$L$3:$L$586,"=36")</f>
        <v>0</v>
      </c>
      <c r="I77" s="138">
        <f>SUMIFS('Plan rashoda za unos u SAP'!$J$3:$J$525,'Plan rashoda za unos u SAP'!$C$3:$C$525,"=43",'Plan rashoda za unos u SAP'!$N$3:$N$525,"=36")+SUMIFS('ANALITIKA EU PROJEKATA'!$H$3:$H$586,'ANALITIKA EU PROJEKATA'!$A$3:$A$586,"=43",'ANALITIKA EU PROJEKATA'!$L$3:$L$586,"=36")</f>
        <v>0</v>
      </c>
      <c r="J77" s="138">
        <f>SUMIFS('Plan rashoda za unos u SAP'!$J$3:$J$525,'Plan rashoda za unos u SAP'!$C$3:$C$525,"=51",'Plan rashoda za unos u SAP'!$N$3:$N$525,"=36")+SUMIFS('ANALITIKA EU PROJEKATA'!$H$3:$H$586,'ANALITIKA EU PROJEKATA'!$A$3:$A$586,"=51",'ANALITIKA EU PROJEKATA'!$L$3:$L$586,"=36")</f>
        <v>0</v>
      </c>
      <c r="K77" s="138">
        <f>SUMIFS('Plan rashoda za unos u SAP'!$J$3:$J$525,'Plan rashoda za unos u SAP'!$C$3:$C$525,"=52",'Plan rashoda za unos u SAP'!$N$3:$N$525,"=36")+SUMIFS('ANALITIKA EU PROJEKATA'!$H$3:$H$586,'ANALITIKA EU PROJEKATA'!$A$3:$A$586,"=52",'ANALITIKA EU PROJEKATA'!$L$3:$L$586,"=36")</f>
        <v>0</v>
      </c>
      <c r="L77" s="138">
        <f>SUMIFS('Plan rashoda za unos u SAP'!$J$3:$J$525,'Plan rashoda za unos u SAP'!$C$3:$C$525,"=552",'Plan rashoda za unos u SAP'!$N$3:$N$525,"=36")+SUMIFS('ANALITIKA EU PROJEKATA'!$H$3:$H$586,'ANALITIKA EU PROJEKATA'!$A$3:$A$586,"=552",'ANALITIKA EU PROJEKATA'!$L$3:$L$586,"=36")</f>
        <v>0</v>
      </c>
      <c r="M77" s="138">
        <f>SUMIFS('Plan rashoda za unos u SAP'!$J$3:$J$525,'Plan rashoda za unos u SAP'!$C$3:$C$525,"=559",'Plan rashoda za unos u SAP'!$N$3:$N$525,"=36")+SUMIFS('ANALITIKA EU PROJEKATA'!$H$3:$H$586,'ANALITIKA EU PROJEKATA'!$A$3:$A$586,"=559",'ANALITIKA EU PROJEKATA'!$L$3:$L$586,"=36")</f>
        <v>0</v>
      </c>
      <c r="N77" s="138">
        <f>SUMIFS('Plan rashoda za unos u SAP'!$J$3:$J$525,'Plan rashoda za unos u SAP'!$C$3:$C$525,"=561",'Plan rashoda za unos u SAP'!$N$3:$N$525,"=36")+SUMIFS('ANALITIKA EU PROJEKATA'!$H$3:$H$586,'ANALITIKA EU PROJEKATA'!$A$3:$A$586,"=561",'ANALITIKA EU PROJEKATA'!$L$3:$L$586,"=36")</f>
        <v>379262</v>
      </c>
      <c r="O77" s="138">
        <f>SUMIFS('Plan rashoda za unos u SAP'!$J$3:$J$525,'Plan rashoda za unos u SAP'!$C$3:$C$525,"=563",'Plan rashoda za unos u SAP'!$N$3:$N$525,"=36")+SUMIFS('ANALITIKA EU PROJEKATA'!$H$3:$H$586,'ANALITIKA EU PROJEKATA'!$A$3:$A$586,"=563",'ANALITIKA EU PROJEKATA'!$L$3:$L$586,"=36")</f>
        <v>0</v>
      </c>
      <c r="P77" s="138">
        <f>SUMIFS('Plan rashoda za unos u SAP'!$J$3:$J$525,'Plan rashoda za unos u SAP'!$C$3:$C$525,"=573",'Plan rashoda za unos u SAP'!$N$3:$N$525,"=36")+SUMIFS('ANALITIKA EU PROJEKATA'!$H$3:$H$586,'ANALITIKA EU PROJEKATA'!$A$3:$A$586,"=573",'ANALITIKA EU PROJEKATA'!$L$3:$L$586,"=36")</f>
        <v>0</v>
      </c>
      <c r="Q77" s="138">
        <f>SUMIFS('Plan rashoda za unos u SAP'!$J$3:$J$525,'Plan rashoda za unos u SAP'!$C$3:$C$525,"=575",'Plan rashoda za unos u SAP'!$N$3:$N$525,"=36")+SUMIFS('ANALITIKA EU PROJEKATA'!$H$3:$H$586,'ANALITIKA EU PROJEKATA'!$A$3:$A$586,"=575",'ANALITIKA EU PROJEKATA'!$L$3:$L$586,"=36")</f>
        <v>0</v>
      </c>
      <c r="R77" s="138">
        <f>SUMIFS('Plan rashoda za unos u SAP'!$J$3:$J$525,'Plan rashoda za unos u SAP'!$C$3:$C$525,"=576",'Plan rashoda za unos u SAP'!$N$3:$N$525,"=36")+SUMIFS('ANALITIKA EU PROJEKATA'!$H$3:$H$586,'ANALITIKA EU PROJEKATA'!$A$3:$A$586,"=576",'ANALITIKA EU PROJEKATA'!$L$3:$L$586,"=36")</f>
        <v>0</v>
      </c>
      <c r="S77" s="138">
        <f>SUMIFS('Plan rashoda za unos u SAP'!$J$3:$J$525,'Plan rashoda za unos u SAP'!$C$3:$C$525,"=581",'Plan rashoda za unos u SAP'!$N$3:$N$525,"=36")+SUMIFS('ANALITIKA EU PROJEKATA'!$H$3:$H$586,'ANALITIKA EU PROJEKATA'!$A$3:$A$586,"=581",'ANALITIKA EU PROJEKATA'!$L$3:$L$586,"=36")</f>
        <v>0</v>
      </c>
      <c r="T77" s="138">
        <f>SUMIFS('Plan rashoda za unos u SAP'!$J$3:$J$525,'Plan rashoda za unos u SAP'!$C$3:$C$525,"=61",'Plan rashoda za unos u SAP'!$N$3:$N$525,"=36")+SUMIFS('ANALITIKA EU PROJEKATA'!$H$3:$H$586,'ANALITIKA EU PROJEKATA'!$A$3:$A$586,"=61",'ANALITIKA EU PROJEKATA'!$L$3:$L$586,"=36")</f>
        <v>0</v>
      </c>
      <c r="U77" s="138">
        <f>SUMIFS('Plan rashoda za unos u SAP'!$J$3:$J$525,'Plan rashoda za unos u SAP'!$C$3:$C$525,"=63",'Plan rashoda za unos u SAP'!$N$3:$N$525,"=36")+SUMIFS('ANALITIKA EU PROJEKATA'!$H$3:$H$586,'ANALITIKA EU PROJEKATA'!$A$3:$A$586,"=63",'ANALITIKA EU PROJEKATA'!$L$3:$L$586,"=36")</f>
        <v>0</v>
      </c>
      <c r="V77" s="138">
        <f>SUMIFS('Plan rashoda za unos u SAP'!$J$3:$J$525,'Plan rashoda za unos u SAP'!$C$3:$C$525,"=71",'Plan rashoda za unos u SAP'!$N$3:$N$525,"=36")+SUMIFS('ANALITIKA EU PROJEKATA'!$H$3:$H$586,'ANALITIKA EU PROJEKATA'!$A$3:$A$586,"=71",'ANALITIKA EU PROJEKATA'!$L$3:$L$586,"=36")</f>
        <v>0</v>
      </c>
      <c r="W77" s="138">
        <f>SUMIFS('Plan rashoda za unos u SAP'!$J$3:$J$525,'Plan rashoda za unos u SAP'!$C$3:$C$525,"=81",'Plan rashoda za unos u SAP'!$N$3:$N$525,"=36")+SUMIFS('ANALITIKA EU PROJEKATA'!$H$3:$H$586,'ANALITIKA EU PROJEKATA'!$A$3:$A$586,"=81",'ANALITIKA EU PROJEKATA'!$L$3:$L$586,"=36")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327</v>
      </c>
      <c r="D78" s="133">
        <f t="shared" si="22"/>
        <v>4763538.8100000005</v>
      </c>
      <c r="E78" s="138">
        <f>SUMIFS('Plan rashoda za unos u SAP'!$J$3:$J$525,'Plan rashoda za unos u SAP'!$C$3:$C$525,"=11",'Plan rashoda za unos u SAP'!$N$3:$N$525,"=37")+SUMIFS('ANALITIKA EU PROJEKATA'!$H$3:$H$586,'ANALITIKA EU PROJEKATA'!$A$3:$A$586,"=11",'ANALITIKA EU PROJEKATA'!$L$3:$L$586,"=37")</f>
        <v>702000</v>
      </c>
      <c r="F78" s="138">
        <f>SUMIFS('Plan rashoda za unos u SAP'!$J$3:$J$525,'Plan rashoda za unos u SAP'!$C$3:$C$525,"=12",'Plan rashoda za unos u SAP'!$N$3:$N$525,"=37")+SUMIFS('ANALITIKA EU PROJEKATA'!$H$3:$H$586,'ANALITIKA EU PROJEKATA'!$A$3:$A$586,"=12",'ANALITIKA EU PROJEKATA'!$L$3:$L$586,"=37")</f>
        <v>0</v>
      </c>
      <c r="G78" s="138">
        <f>SUMIFS('Plan rashoda za unos u SAP'!$J$3:$J$525,'Plan rashoda za unos u SAP'!$C$3:$C$525,"=31",'Plan rashoda za unos u SAP'!$N$3:$N$525,"=37")+SUMIFS('ANALITIKA EU PROJEKATA'!$H$3:$H$586,'ANALITIKA EU PROJEKATA'!$A$3:$A$586,"=31",'ANALITIKA EU PROJEKATA'!$L$3:$L$586,"=37")</f>
        <v>120400</v>
      </c>
      <c r="H78" s="138">
        <f>SUMIFS('Plan rashoda za unos u SAP'!$J$3:$J$525,'Plan rashoda za unos u SAP'!$C$3:$C$525,"=41",'Plan rashoda za unos u SAP'!$N$3:$N$525,"=37")+SUMIFS('ANALITIKA EU PROJEKATA'!$H$3:$H$586,'ANALITIKA EU PROJEKATA'!$A$3:$A$586,"=41",'ANALITIKA EU PROJEKATA'!$L$3:$L$586,"=37")</f>
        <v>0</v>
      </c>
      <c r="I78" s="138">
        <f>SUMIFS('Plan rashoda za unos u SAP'!$J$3:$J$525,'Plan rashoda za unos u SAP'!$C$3:$C$525,"=43",'Plan rashoda za unos u SAP'!$N$3:$N$525,"=37")+SUMIFS('ANALITIKA EU PROJEKATA'!$H$3:$H$586,'ANALITIKA EU PROJEKATA'!$A$3:$A$586,"=43",'ANALITIKA EU PROJEKATA'!$L$3:$L$586,"=37")</f>
        <v>398653</v>
      </c>
      <c r="J78" s="138">
        <f>SUMIFS('Plan rashoda za unos u SAP'!$J$3:$J$525,'Plan rashoda za unos u SAP'!$C$3:$C$525,"=51",'Plan rashoda za unos u SAP'!$N$3:$N$525,"=37")+SUMIFS('ANALITIKA EU PROJEKATA'!$H$3:$H$586,'ANALITIKA EU PROJEKATA'!$A$3:$A$586,"=51",'ANALITIKA EU PROJEKATA'!$L$3:$L$586,"=37")</f>
        <v>0</v>
      </c>
      <c r="K78" s="138">
        <f>SUMIFS('Plan rashoda za unos u SAP'!$J$3:$J$525,'Plan rashoda za unos u SAP'!$C$3:$C$525,"=52",'Plan rashoda za unos u SAP'!$N$3:$N$525,"=37")+SUMIFS('ANALITIKA EU PROJEKATA'!$H$3:$H$586,'ANALITIKA EU PROJEKATA'!$A$3:$A$586,"=52",'ANALITIKA EU PROJEKATA'!$L$3:$L$586,"=37")</f>
        <v>3517481.81</v>
      </c>
      <c r="L78" s="138">
        <f>SUMIFS('Plan rashoda za unos u SAP'!$J$3:$J$525,'Plan rashoda za unos u SAP'!$C$3:$C$525,"=552",'Plan rashoda za unos u SAP'!$N$3:$N$525,"=37")+SUMIFS('ANALITIKA EU PROJEKATA'!$H$3:$H$586,'ANALITIKA EU PROJEKATA'!$A$3:$A$586,"=552",'ANALITIKA EU PROJEKATA'!$L$3:$L$586,"=37")</f>
        <v>0</v>
      </c>
      <c r="M78" s="138">
        <f>SUMIFS('Plan rashoda za unos u SAP'!$J$3:$J$525,'Plan rashoda za unos u SAP'!$C$3:$C$525,"=559",'Plan rashoda za unos u SAP'!$N$3:$N$525,"=37")+SUMIFS('ANALITIKA EU PROJEKATA'!$H$3:$H$586,'ANALITIKA EU PROJEKATA'!$A$3:$A$586,"=559",'ANALITIKA EU PROJEKATA'!$L$3:$L$586,"=37")</f>
        <v>0</v>
      </c>
      <c r="N78" s="138">
        <f>SUMIFS('Plan rashoda za unos u SAP'!$J$3:$J$525,'Plan rashoda za unos u SAP'!$C$3:$C$525,"=561",'Plan rashoda za unos u SAP'!$N$3:$N$525,"=37")+SUMIFS('ANALITIKA EU PROJEKATA'!$H$3:$H$586,'ANALITIKA EU PROJEKATA'!$A$3:$A$586,"=561",'ANALITIKA EU PROJEKATA'!$L$3:$L$586,"=37")</f>
        <v>0</v>
      </c>
      <c r="O78" s="138">
        <f>SUMIFS('Plan rashoda za unos u SAP'!$J$3:$J$525,'Plan rashoda za unos u SAP'!$C$3:$C$525,"=563",'Plan rashoda za unos u SAP'!$N$3:$N$525,"=37")+SUMIFS('ANALITIKA EU PROJEKATA'!$H$3:$H$586,'ANALITIKA EU PROJEKATA'!$A$3:$A$586,"=563",'ANALITIKA EU PROJEKATA'!$L$3:$L$586,"=37")</f>
        <v>0</v>
      </c>
      <c r="P78" s="138">
        <f>SUMIFS('Plan rashoda za unos u SAP'!$J$3:$J$525,'Plan rashoda za unos u SAP'!$C$3:$C$525,"=573",'Plan rashoda za unos u SAP'!$N$3:$N$525,"=37")+SUMIFS('ANALITIKA EU PROJEKATA'!$H$3:$H$586,'ANALITIKA EU PROJEKATA'!$A$3:$A$586,"=573",'ANALITIKA EU PROJEKATA'!$L$3:$L$586,"=37")</f>
        <v>0</v>
      </c>
      <c r="Q78" s="138">
        <f>SUMIFS('Plan rashoda za unos u SAP'!$J$3:$J$525,'Plan rashoda za unos u SAP'!$C$3:$C$525,"=575",'Plan rashoda za unos u SAP'!$N$3:$N$525,"=37")+SUMIFS('ANALITIKA EU PROJEKATA'!$H$3:$H$586,'ANALITIKA EU PROJEKATA'!$A$3:$A$586,"=575",'ANALITIKA EU PROJEKATA'!$L$3:$L$586,"=37")</f>
        <v>0</v>
      </c>
      <c r="R78" s="138">
        <f>SUMIFS('Plan rashoda za unos u SAP'!$J$3:$J$525,'Plan rashoda za unos u SAP'!$C$3:$C$525,"=576",'Plan rashoda za unos u SAP'!$N$3:$N$525,"=37")+SUMIFS('ANALITIKA EU PROJEKATA'!$H$3:$H$586,'ANALITIKA EU PROJEKATA'!$A$3:$A$586,"=576",'ANALITIKA EU PROJEKATA'!$L$3:$L$586,"=37")</f>
        <v>0</v>
      </c>
      <c r="S78" s="138">
        <f>SUMIFS('Plan rashoda za unos u SAP'!$J$3:$J$525,'Plan rashoda za unos u SAP'!$C$3:$C$525,"=581",'Plan rashoda za unos u SAP'!$N$3:$N$525,"=37")+SUMIFS('ANALITIKA EU PROJEKATA'!$H$3:$H$586,'ANALITIKA EU PROJEKATA'!$A$3:$A$586,"=581",'ANALITIKA EU PROJEKATA'!$L$3:$L$586,"=37")</f>
        <v>0</v>
      </c>
      <c r="T78" s="138">
        <f>SUMIFS('Plan rashoda za unos u SAP'!$J$3:$J$525,'Plan rashoda za unos u SAP'!$C$3:$C$525,"=61",'Plan rashoda za unos u SAP'!$N$3:$N$525,"=37")+SUMIFS('ANALITIKA EU PROJEKATA'!$H$3:$H$586,'ANALITIKA EU PROJEKATA'!$A$3:$A$586,"=61",'ANALITIKA EU PROJEKATA'!$L$3:$L$586,"=37")</f>
        <v>25004</v>
      </c>
      <c r="U78" s="138">
        <f>SUMIFS('Plan rashoda za unos u SAP'!$J$3:$J$525,'Plan rashoda za unos u SAP'!$C$3:$C$525,"=63",'Plan rashoda za unos u SAP'!$N$3:$N$525,"=37")+SUMIFS('ANALITIKA EU PROJEKATA'!$H$3:$H$586,'ANALITIKA EU PROJEKATA'!$A$3:$A$586,"=63",'ANALITIKA EU PROJEKATA'!$L$3:$L$586,"=37")</f>
        <v>0</v>
      </c>
      <c r="V78" s="138">
        <f>SUMIFS('Plan rashoda za unos u SAP'!$J$3:$J$525,'Plan rashoda za unos u SAP'!$C$3:$C$525,"=71",'Plan rashoda za unos u SAP'!$N$3:$N$525,"=37")+SUMIFS('ANALITIKA EU PROJEKATA'!$H$3:$H$586,'ANALITIKA EU PROJEKATA'!$A$3:$A$586,"=71",'ANALITIKA EU PROJEKATA'!$L$3:$L$586,"=37")</f>
        <v>0</v>
      </c>
      <c r="W78" s="138">
        <f>SUMIFS('Plan rashoda za unos u SAP'!$J$3:$J$525,'Plan rashoda za unos u SAP'!$C$3:$C$525,"=81",'Plan rashoda za unos u SAP'!$N$3:$N$525,"=37")+SUMIFS('ANALITIKA EU PROJEKATA'!$H$3:$H$586,'ANALITIKA EU PROJEKATA'!$A$3:$A$586,"=81",'ANALITIKA EU PROJEKATA'!$L$3:$L$586,"=37")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6297550</v>
      </c>
      <c r="E79" s="138">
        <f>SUMIFS('Plan rashoda za unos u SAP'!$J$3:$J$525,'Plan rashoda za unos u SAP'!$C$3:$C$525,"=11",'Plan rashoda za unos u SAP'!$N$3:$N$525,"=38")+SUMIFS('ANALITIKA EU PROJEKATA'!$H$3:$H$586,'ANALITIKA EU PROJEKATA'!$A$3:$A$586,"=11",'ANALITIKA EU PROJEKATA'!$L$3:$L$586,"=38")</f>
        <v>6200000</v>
      </c>
      <c r="F79" s="138">
        <f>SUMIFS('Plan rashoda za unos u SAP'!$J$3:$J$525,'Plan rashoda za unos u SAP'!$C$3:$C$525,"=12",'Plan rashoda za unos u SAP'!$N$3:$N$525,"=38")+SUMIFS('ANALITIKA EU PROJEKATA'!$H$3:$H$586,'ANALITIKA EU PROJEKATA'!$A$3:$A$586,"=12",'ANALITIKA EU PROJEKATA'!$L$3:$L$586,"=38")</f>
        <v>0</v>
      </c>
      <c r="G79" s="138">
        <f>SUMIFS('Plan rashoda za unos u SAP'!$J$3:$J$525,'Plan rashoda za unos u SAP'!$C$3:$C$525,"=31",'Plan rashoda za unos u SAP'!$N$3:$N$525,"=38")+SUMIFS('ANALITIKA EU PROJEKATA'!$H$3:$H$586,'ANALITIKA EU PROJEKATA'!$A$3:$A$586,"=31",'ANALITIKA EU PROJEKATA'!$L$3:$L$586,"=38")</f>
        <v>50000</v>
      </c>
      <c r="H79" s="138">
        <f>SUMIFS('Plan rashoda za unos u SAP'!$J$3:$J$525,'Plan rashoda za unos u SAP'!$C$3:$C$525,"=41",'Plan rashoda za unos u SAP'!$N$3:$N$525,"=38")+SUMIFS('ANALITIKA EU PROJEKATA'!$H$3:$H$586,'ANALITIKA EU PROJEKATA'!$A$3:$A$586,"=41",'ANALITIKA EU PROJEKATA'!$L$3:$L$586,"=38")</f>
        <v>0</v>
      </c>
      <c r="I79" s="138">
        <f>SUMIFS('Plan rashoda za unos u SAP'!$J$3:$J$525,'Plan rashoda za unos u SAP'!$C$3:$C$525,"=43",'Plan rashoda za unos u SAP'!$N$3:$N$525,"=38")+SUMIFS('ANALITIKA EU PROJEKATA'!$H$3:$H$586,'ANALITIKA EU PROJEKATA'!$A$3:$A$586,"=43",'ANALITIKA EU PROJEKATA'!$L$3:$L$586,"=38")</f>
        <v>0</v>
      </c>
      <c r="J79" s="138">
        <f>SUMIFS('Plan rashoda za unos u SAP'!$J$3:$J$525,'Plan rashoda za unos u SAP'!$C$3:$C$525,"=51",'Plan rashoda za unos u SAP'!$N$3:$N$525,"=38")+SUMIFS('ANALITIKA EU PROJEKATA'!$H$3:$H$586,'ANALITIKA EU PROJEKATA'!$A$3:$A$586,"=51",'ANALITIKA EU PROJEKATA'!$L$3:$L$586,"=38")</f>
        <v>0</v>
      </c>
      <c r="K79" s="138">
        <f>SUMIFS('Plan rashoda za unos u SAP'!$J$3:$J$525,'Plan rashoda za unos u SAP'!$C$3:$C$525,"=52",'Plan rashoda za unos u SAP'!$N$3:$N$525,"=38")+SUMIFS('ANALITIKA EU PROJEKATA'!$H$3:$H$586,'ANALITIKA EU PROJEKATA'!$A$3:$A$586,"=52",'ANALITIKA EU PROJEKATA'!$L$3:$L$586,"=38")</f>
        <v>47550</v>
      </c>
      <c r="L79" s="138">
        <f>SUMIFS('Plan rashoda za unos u SAP'!$J$3:$J$525,'Plan rashoda za unos u SAP'!$C$3:$C$525,"=552",'Plan rashoda za unos u SAP'!$N$3:$N$525,"=38")+SUMIFS('ANALITIKA EU PROJEKATA'!$H$3:$H$586,'ANALITIKA EU PROJEKATA'!$A$3:$A$586,"=552",'ANALITIKA EU PROJEKATA'!$L$3:$L$586,"=38")</f>
        <v>0</v>
      </c>
      <c r="M79" s="138">
        <f>SUMIFS('Plan rashoda za unos u SAP'!$J$3:$J$525,'Plan rashoda za unos u SAP'!$C$3:$C$525,"=559",'Plan rashoda za unos u SAP'!$N$3:$N$525,"=38")+SUMIFS('ANALITIKA EU PROJEKATA'!$H$3:$H$586,'ANALITIKA EU PROJEKATA'!$A$3:$A$586,"=559",'ANALITIKA EU PROJEKATA'!$L$3:$L$586,"=38")</f>
        <v>0</v>
      </c>
      <c r="N79" s="138">
        <f>SUMIFS('Plan rashoda za unos u SAP'!$J$3:$J$525,'Plan rashoda za unos u SAP'!$C$3:$C$525,"=561",'Plan rashoda za unos u SAP'!$N$3:$N$525,"=38")+SUMIFS('ANALITIKA EU PROJEKATA'!$H$3:$H$586,'ANALITIKA EU PROJEKATA'!$A$3:$A$586,"=561",'ANALITIKA EU PROJEKATA'!$L$3:$L$586,"=38")</f>
        <v>0</v>
      </c>
      <c r="O79" s="138">
        <f>SUMIFS('Plan rashoda za unos u SAP'!$J$3:$J$525,'Plan rashoda za unos u SAP'!$C$3:$C$525,"=563",'Plan rashoda za unos u SAP'!$N$3:$N$525,"=38")+SUMIFS('ANALITIKA EU PROJEKATA'!$H$3:$H$586,'ANALITIKA EU PROJEKATA'!$A$3:$A$586,"=563",'ANALITIKA EU PROJEKATA'!$L$3:$L$586,"=38")</f>
        <v>0</v>
      </c>
      <c r="P79" s="138">
        <f>SUMIFS('Plan rashoda za unos u SAP'!$J$3:$J$525,'Plan rashoda za unos u SAP'!$C$3:$C$525,"=573",'Plan rashoda za unos u SAP'!$N$3:$N$525,"=38")+SUMIFS('ANALITIKA EU PROJEKATA'!$H$3:$H$586,'ANALITIKA EU PROJEKATA'!$A$3:$A$586,"=573",'ANALITIKA EU PROJEKATA'!$L$3:$L$586,"=38")</f>
        <v>0</v>
      </c>
      <c r="Q79" s="138">
        <f>SUMIFS('Plan rashoda za unos u SAP'!$J$3:$J$525,'Plan rashoda za unos u SAP'!$C$3:$C$525,"=575",'Plan rashoda za unos u SAP'!$N$3:$N$525,"=38")+SUMIFS('ANALITIKA EU PROJEKATA'!$H$3:$H$586,'ANALITIKA EU PROJEKATA'!$A$3:$A$586,"=575",'ANALITIKA EU PROJEKATA'!$L$3:$L$586,"=38")</f>
        <v>0</v>
      </c>
      <c r="R79" s="138">
        <f>SUMIFS('Plan rashoda za unos u SAP'!$J$3:$J$525,'Plan rashoda za unos u SAP'!$C$3:$C$525,"=576",'Plan rashoda za unos u SAP'!$N$3:$N$525,"=38")+SUMIFS('ANALITIKA EU PROJEKATA'!$H$3:$H$586,'ANALITIKA EU PROJEKATA'!$A$3:$A$586,"=576",'ANALITIKA EU PROJEKATA'!$L$3:$L$586,"=38")</f>
        <v>0</v>
      </c>
      <c r="S79" s="138">
        <f>SUMIFS('Plan rashoda za unos u SAP'!$J$3:$J$525,'Plan rashoda za unos u SAP'!$C$3:$C$525,"=581",'Plan rashoda za unos u SAP'!$N$3:$N$525,"=38")+SUMIFS('ANALITIKA EU PROJEKATA'!$H$3:$H$586,'ANALITIKA EU PROJEKATA'!$A$3:$A$586,"=581",'ANALITIKA EU PROJEKATA'!$L$3:$L$586,"=38")</f>
        <v>0</v>
      </c>
      <c r="T79" s="138">
        <f>SUMIFS('Plan rashoda za unos u SAP'!$J$3:$J$525,'Plan rashoda za unos u SAP'!$C$3:$C$525,"=61",'Plan rashoda za unos u SAP'!$N$3:$N$525,"=38")+SUMIFS('ANALITIKA EU PROJEKATA'!$H$3:$H$586,'ANALITIKA EU PROJEKATA'!$A$3:$A$586,"=61",'ANALITIKA EU PROJEKATA'!$L$3:$L$586,"=38")</f>
        <v>0</v>
      </c>
      <c r="U79" s="138">
        <f>SUMIFS('Plan rashoda za unos u SAP'!$J$3:$J$525,'Plan rashoda za unos u SAP'!$C$3:$C$525,"=63",'Plan rashoda za unos u SAP'!$N$3:$N$525,"=38")+SUMIFS('ANALITIKA EU PROJEKATA'!$H$3:$H$586,'ANALITIKA EU PROJEKATA'!$A$3:$A$586,"=63",'ANALITIKA EU PROJEKATA'!$L$3:$L$586,"=38")</f>
        <v>0</v>
      </c>
      <c r="V79" s="138">
        <f>SUMIFS('Plan rashoda za unos u SAP'!$J$3:$J$525,'Plan rashoda za unos u SAP'!$C$3:$C$525,"=71",'Plan rashoda za unos u SAP'!$N$3:$N$525,"=38")+SUMIFS('ANALITIKA EU PROJEKATA'!$H$3:$H$586,'ANALITIKA EU PROJEKATA'!$A$3:$A$586,"=71",'ANALITIKA EU PROJEKATA'!$L$3:$L$586,"=38")</f>
        <v>0</v>
      </c>
      <c r="W79" s="138">
        <f>SUMIFS('Plan rashoda za unos u SAP'!$J$3:$J$525,'Plan rashoda za unos u SAP'!$C$3:$C$525,"=81",'Plan rashoda za unos u SAP'!$N$3:$N$525,"=38")+SUMIFS('ANALITIKA EU PROJEKATA'!$H$3:$H$586,'ANALITIKA EU PROJEKATA'!$A$3:$A$586,"=81",'ANALITIKA EU PROJEKATA'!$L$3:$L$586,"=38")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21940293.739999998</v>
      </c>
      <c r="E80" s="131">
        <f t="shared" ref="E80:W80" si="25">SUM(E81:E85)</f>
        <v>1153905.58</v>
      </c>
      <c r="F80" s="131">
        <f t="shared" si="25"/>
        <v>2015.12</v>
      </c>
      <c r="G80" s="131">
        <f t="shared" si="25"/>
        <v>2230754</v>
      </c>
      <c r="H80" s="131">
        <f>SUM(H81:H85)</f>
        <v>0</v>
      </c>
      <c r="I80" s="131">
        <f t="shared" si="25"/>
        <v>997581</v>
      </c>
      <c r="J80" s="131">
        <f t="shared" si="25"/>
        <v>110977.25</v>
      </c>
      <c r="K80" s="131">
        <f t="shared" si="25"/>
        <v>17185635.210000001</v>
      </c>
      <c r="L80" s="131">
        <f>SUM(L81:L85)</f>
        <v>0</v>
      </c>
      <c r="M80" s="131">
        <f t="shared" si="25"/>
        <v>0</v>
      </c>
      <c r="N80" s="131">
        <f t="shared" si="25"/>
        <v>11419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248006.58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332</v>
      </c>
      <c r="D81" s="133">
        <f t="shared" si="22"/>
        <v>109157.69</v>
      </c>
      <c r="E81" s="138">
        <f>SUMIFS('Plan rashoda za unos u SAP'!$J$3:$J$525,'Plan rashoda za unos u SAP'!$C$3:$C$525,"=11",'Plan rashoda za unos u SAP'!$N$3:$N$525,"=41")+SUMIFS('ANALITIKA EU PROJEKATA'!$H$3:$H$586,'ANALITIKA EU PROJEKATA'!$A$3:$A$586,"=11",'ANALITIKA EU PROJEKATA'!$L$3:$L$586,"=41")</f>
        <v>59367.69</v>
      </c>
      <c r="F81" s="138">
        <f>SUMIFS('Plan rashoda za unos u SAP'!$J$3:$J$525,'Plan rashoda za unos u SAP'!$C$3:$C$525,"=12",'Plan rashoda za unos u SAP'!$N$3:$N$525,"=41")+SUMIFS('ANALITIKA EU PROJEKATA'!$H$3:$H$586,'ANALITIKA EU PROJEKATA'!$A$3:$A$586,"=12",'ANALITIKA EU PROJEKATA'!$L$3:$L$586,"=41")</f>
        <v>0</v>
      </c>
      <c r="G81" s="138">
        <f>SUMIFS('Plan rashoda za unos u SAP'!$J$3:$J$525,'Plan rashoda za unos u SAP'!$C$3:$C$525,"=31",'Plan rashoda za unos u SAP'!$N$3:$N$525,"=41")+SUMIFS('ANALITIKA EU PROJEKATA'!$H$3:$H$586,'ANALITIKA EU PROJEKATA'!$A$3:$A$586,"=31",'ANALITIKA EU PROJEKATA'!$L$3:$L$586,"=41")</f>
        <v>5650</v>
      </c>
      <c r="H81" s="138">
        <f>SUMIFS('Plan rashoda za unos u SAP'!$J$3:$J$525,'Plan rashoda za unos u SAP'!$C$3:$C$525,"=41",'Plan rashoda za unos u SAP'!$N$3:$N$525,"=41")+SUMIFS('ANALITIKA EU PROJEKATA'!$H$3:$H$586,'ANALITIKA EU PROJEKATA'!$A$3:$A$586,"=41",'ANALITIKA EU PROJEKATA'!$L$3:$L$586,"=41")</f>
        <v>0</v>
      </c>
      <c r="I81" s="138">
        <f>SUMIFS('Plan rashoda za unos u SAP'!$J$3:$J$525,'Plan rashoda za unos u SAP'!$C$3:$C$525,"=43",'Plan rashoda za unos u SAP'!$N$3:$N$525,"=41")+SUMIFS('ANALITIKA EU PROJEKATA'!$H$3:$H$586,'ANALITIKA EU PROJEKATA'!$A$3:$A$586,"=43",'ANALITIKA EU PROJEKATA'!$L$3:$L$586,"=41")</f>
        <v>44140</v>
      </c>
      <c r="J81" s="138">
        <f>SUMIFS('Plan rashoda za unos u SAP'!$J$3:$J$525,'Plan rashoda za unos u SAP'!$C$3:$C$525,"=51",'Plan rashoda za unos u SAP'!$N$3:$N$525,"=41")+SUMIFS('ANALITIKA EU PROJEKATA'!$H$3:$H$586,'ANALITIKA EU PROJEKATA'!$A$3:$A$586,"=51",'ANALITIKA EU PROJEKATA'!$L$3:$L$586,"=41")</f>
        <v>0</v>
      </c>
      <c r="K81" s="138">
        <f>SUMIFS('Plan rashoda za unos u SAP'!$J$3:$J$525,'Plan rashoda za unos u SAP'!$C$3:$C$525,"=52",'Plan rashoda za unos u SAP'!$N$3:$N$525,"=41")+SUMIFS('ANALITIKA EU PROJEKATA'!$H$3:$H$586,'ANALITIKA EU PROJEKATA'!$A$3:$A$586,"=52",'ANALITIKA EU PROJEKATA'!$L$3:$L$586,"=41")</f>
        <v>0</v>
      </c>
      <c r="L81" s="138">
        <f>SUMIFS('Plan rashoda za unos u SAP'!$J$3:$J$525,'Plan rashoda za unos u SAP'!$C$3:$C$525,"=552",'Plan rashoda za unos u SAP'!$N$3:$N$525,"=41")+SUMIFS('ANALITIKA EU PROJEKATA'!$H$3:$H$586,'ANALITIKA EU PROJEKATA'!$A$3:$A$586,"=552",'ANALITIKA EU PROJEKATA'!$L$3:$L$586,"=41")</f>
        <v>0</v>
      </c>
      <c r="M81" s="138">
        <f>SUMIFS('Plan rashoda za unos u SAP'!$J$3:$J$525,'Plan rashoda za unos u SAP'!$C$3:$C$525,"=559",'Plan rashoda za unos u SAP'!$N$3:$N$525,"=41")+SUMIFS('ANALITIKA EU PROJEKATA'!$H$3:$H$586,'ANALITIKA EU PROJEKATA'!$A$3:$A$586,"=559",'ANALITIKA EU PROJEKATA'!$L$3:$L$586,"=41")</f>
        <v>0</v>
      </c>
      <c r="N81" s="138">
        <f>SUMIFS('Plan rashoda za unos u SAP'!$J$3:$J$525,'Plan rashoda za unos u SAP'!$C$3:$C$525,"=561",'Plan rashoda za unos u SAP'!$N$3:$N$525,"=41")+SUMIFS('ANALITIKA EU PROJEKATA'!$H$3:$H$586,'ANALITIKA EU PROJEKATA'!$A$3:$A$586,"=561",'ANALITIKA EU PROJEKATA'!$L$3:$L$586,"=41")</f>
        <v>0</v>
      </c>
      <c r="O81" s="138">
        <f>SUMIFS('Plan rashoda za unos u SAP'!$J$3:$J$525,'Plan rashoda za unos u SAP'!$C$3:$C$525,"=563",'Plan rashoda za unos u SAP'!$N$3:$N$525,"=41")+SUMIFS('ANALITIKA EU PROJEKATA'!$H$3:$H$586,'ANALITIKA EU PROJEKATA'!$A$3:$A$586,"=563",'ANALITIKA EU PROJEKATA'!$L$3:$L$586,"=41")</f>
        <v>0</v>
      </c>
      <c r="P81" s="138">
        <f>SUMIFS('Plan rashoda za unos u SAP'!$J$3:$J$525,'Plan rashoda za unos u SAP'!$C$3:$C$525,"=573",'Plan rashoda za unos u SAP'!$N$3:$N$525,"=41")+SUMIFS('ANALITIKA EU PROJEKATA'!$H$3:$H$586,'ANALITIKA EU PROJEKATA'!$A$3:$A$586,"=573",'ANALITIKA EU PROJEKATA'!$L$3:$L$586,"=41")</f>
        <v>0</v>
      </c>
      <c r="Q81" s="138">
        <f>SUMIFS('Plan rashoda za unos u SAP'!$J$3:$J$525,'Plan rashoda za unos u SAP'!$C$3:$C$525,"=575",'Plan rashoda za unos u SAP'!$N$3:$N$525,"=41")+SUMIFS('ANALITIKA EU PROJEKATA'!$H$3:$H$586,'ANALITIKA EU PROJEKATA'!$A$3:$A$586,"=575",'ANALITIKA EU PROJEKATA'!$L$3:$L$586,"=41")</f>
        <v>0</v>
      </c>
      <c r="R81" s="138">
        <f>SUMIFS('Plan rashoda za unos u SAP'!$J$3:$J$525,'Plan rashoda za unos u SAP'!$C$3:$C$525,"=576",'Plan rashoda za unos u SAP'!$N$3:$N$525,"=41")+SUMIFS('ANALITIKA EU PROJEKATA'!$H$3:$H$586,'ANALITIKA EU PROJEKATA'!$A$3:$A$586,"=576",'ANALITIKA EU PROJEKATA'!$L$3:$L$586,"=41")</f>
        <v>0</v>
      </c>
      <c r="S81" s="138">
        <f>SUMIFS('Plan rashoda za unos u SAP'!$J$3:$J$525,'Plan rashoda za unos u SAP'!$C$3:$C$525,"=581",'Plan rashoda za unos u SAP'!$N$3:$N$525,"=41")+SUMIFS('ANALITIKA EU PROJEKATA'!$H$3:$H$586,'ANALITIKA EU PROJEKATA'!$A$3:$A$586,"=581",'ANALITIKA EU PROJEKATA'!$L$3:$L$586,"=41")</f>
        <v>0</v>
      </c>
      <c r="T81" s="138">
        <f>SUMIFS('Plan rashoda za unos u SAP'!$J$3:$J$525,'Plan rashoda za unos u SAP'!$C$3:$C$525,"=61",'Plan rashoda za unos u SAP'!$N$3:$N$525,"=41")+SUMIFS('ANALITIKA EU PROJEKATA'!$H$3:$H$586,'ANALITIKA EU PROJEKATA'!$A$3:$A$586,"=61",'ANALITIKA EU PROJEKATA'!$L$3:$L$586,"=41")</f>
        <v>0</v>
      </c>
      <c r="U81" s="138">
        <f>SUMIFS('Plan rashoda za unos u SAP'!$J$3:$J$525,'Plan rashoda za unos u SAP'!$C$3:$C$525,"=63",'Plan rashoda za unos u SAP'!$N$3:$N$525,"=41")+SUMIFS('ANALITIKA EU PROJEKATA'!$H$3:$H$586,'ANALITIKA EU PROJEKATA'!$A$3:$A$586,"=63",'ANALITIKA EU PROJEKATA'!$L$3:$L$586,"=41")</f>
        <v>0</v>
      </c>
      <c r="V81" s="138">
        <f>SUMIFS('Plan rashoda za unos u SAP'!$J$3:$J$525,'Plan rashoda za unos u SAP'!$C$3:$C$525,"=71",'Plan rashoda za unos u SAP'!$N$3:$N$525,"=41")+SUMIFS('ANALITIKA EU PROJEKATA'!$H$3:$H$586,'ANALITIKA EU PROJEKATA'!$A$3:$A$586,"=71",'ANALITIKA EU PROJEKATA'!$L$3:$L$586,"=41")</f>
        <v>0</v>
      </c>
      <c r="W81" s="138">
        <f>SUMIFS('Plan rashoda za unos u SAP'!$J$3:$J$525,'Plan rashoda za unos u SAP'!$C$3:$C$525,"=81",'Plan rashoda za unos u SAP'!$N$3:$N$525,"=41")+SUMIFS('ANALITIKA EU PROJEKATA'!$H$3:$H$586,'ANALITIKA EU PROJEKATA'!$A$3:$A$586,"=81",'ANALITIKA EU PROJEKATA'!$L$3:$L$586,"=41")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4593086.0500000007</v>
      </c>
      <c r="E82" s="138">
        <f>SUMIFS('Plan rashoda za unos u SAP'!$J$3:$J$525,'Plan rashoda za unos u SAP'!$C$3:$C$525,"=11",'Plan rashoda za unos u SAP'!$N$3:$N$525,"=42")+SUMIFS('ANALITIKA EU PROJEKATA'!$H$3:$H$586,'ANALITIKA EU PROJEKATA'!$A$3:$A$586,"=11",'ANALITIKA EU PROJEKATA'!$L$3:$L$586,"=42")</f>
        <v>1094537.8900000001</v>
      </c>
      <c r="F82" s="138">
        <f>SUMIFS('Plan rashoda za unos u SAP'!$J$3:$J$525,'Plan rashoda za unos u SAP'!$C$3:$C$525,"=12",'Plan rashoda za unos u SAP'!$N$3:$N$525,"=42")+SUMIFS('ANALITIKA EU PROJEKATA'!$H$3:$H$586,'ANALITIKA EU PROJEKATA'!$A$3:$A$586,"=12",'ANALITIKA EU PROJEKATA'!$L$3:$L$586,"=42")</f>
        <v>2015.12</v>
      </c>
      <c r="G82" s="138">
        <f>SUMIFS('Plan rashoda za unos u SAP'!$J$3:$J$525,'Plan rashoda za unos u SAP'!$C$3:$C$525,"=31",'Plan rashoda za unos u SAP'!$N$3:$N$525,"=42")+SUMIFS('ANALITIKA EU PROJEKATA'!$H$3:$H$586,'ANALITIKA EU PROJEKATA'!$A$3:$A$586,"=31",'ANALITIKA EU PROJEKATA'!$L$3:$L$586,"=42")</f>
        <v>1463026</v>
      </c>
      <c r="H82" s="138">
        <f>SUMIFS('Plan rashoda za unos u SAP'!$J$3:$J$525,'Plan rashoda za unos u SAP'!$C$3:$C$525,"=41",'Plan rashoda za unos u SAP'!$N$3:$N$525,"=42")+SUMIFS('ANALITIKA EU PROJEKATA'!$H$3:$H$586,'ANALITIKA EU PROJEKATA'!$A$3:$A$586,"=41",'ANALITIKA EU PROJEKATA'!$L$3:$L$586,"=42")</f>
        <v>0</v>
      </c>
      <c r="I82" s="138">
        <f>SUMIFS('Plan rashoda za unos u SAP'!$J$3:$J$525,'Plan rashoda za unos u SAP'!$C$3:$C$525,"=43",'Plan rashoda za unos u SAP'!$N$3:$N$525,"=42")+SUMIFS('ANALITIKA EU PROJEKATA'!$H$3:$H$586,'ANALITIKA EU PROJEKATA'!$A$3:$A$586,"=43",'ANALITIKA EU PROJEKATA'!$L$3:$L$586,"=42")</f>
        <v>953441</v>
      </c>
      <c r="J82" s="138">
        <f>SUMIFS('Plan rashoda za unos u SAP'!$J$3:$J$525,'Plan rashoda za unos u SAP'!$C$3:$C$525,"=51",'Plan rashoda za unos u SAP'!$N$3:$N$525,"=42")+SUMIFS('ANALITIKA EU PROJEKATA'!$H$3:$H$586,'ANALITIKA EU PROJEKATA'!$A$3:$A$586,"=51",'ANALITIKA EU PROJEKATA'!$L$3:$L$586,"=42")</f>
        <v>110977.25</v>
      </c>
      <c r="K82" s="138">
        <f>SUMIFS('Plan rashoda za unos u SAP'!$J$3:$J$525,'Plan rashoda za unos u SAP'!$C$3:$C$525,"=52",'Plan rashoda za unos u SAP'!$N$3:$N$525,"=42")+SUMIFS('ANALITIKA EU PROJEKATA'!$H$3:$H$586,'ANALITIKA EU PROJEKATA'!$A$3:$A$586,"=52",'ANALITIKA EU PROJEKATA'!$L$3:$L$586,"=42")</f>
        <v>709663.2100000002</v>
      </c>
      <c r="L82" s="138">
        <f>SUMIFS('Plan rashoda za unos u SAP'!$J$3:$J$525,'Plan rashoda za unos u SAP'!$C$3:$C$525,"=552",'Plan rashoda za unos u SAP'!$N$3:$N$525,"=42")+SUMIFS('ANALITIKA EU PROJEKATA'!$H$3:$H$586,'ANALITIKA EU PROJEKATA'!$A$3:$A$586,"=552",'ANALITIKA EU PROJEKATA'!$L$3:$L$586,"=42")</f>
        <v>0</v>
      </c>
      <c r="M82" s="138">
        <f>SUMIFS('Plan rashoda za unos u SAP'!$J$3:$J$525,'Plan rashoda za unos u SAP'!$C$3:$C$525,"=559",'Plan rashoda za unos u SAP'!$N$3:$N$525,"=42")+SUMIFS('ANALITIKA EU PROJEKATA'!$H$3:$H$586,'ANALITIKA EU PROJEKATA'!$A$3:$A$586,"=559",'ANALITIKA EU PROJEKATA'!$L$3:$L$586,"=42")</f>
        <v>0</v>
      </c>
      <c r="N82" s="138">
        <f>SUMIFS('Plan rashoda za unos u SAP'!$J$3:$J$525,'Plan rashoda za unos u SAP'!$C$3:$C$525,"=561",'Plan rashoda za unos u SAP'!$N$3:$N$525,"=42")+SUMIFS('ANALITIKA EU PROJEKATA'!$H$3:$H$586,'ANALITIKA EU PROJEKATA'!$A$3:$A$586,"=561",'ANALITIKA EU PROJEKATA'!$L$3:$L$586,"=42")</f>
        <v>11419</v>
      </c>
      <c r="O82" s="138">
        <f>SUMIFS('Plan rashoda za unos u SAP'!$J$3:$J$525,'Plan rashoda za unos u SAP'!$C$3:$C$525,"=563",'Plan rashoda za unos u SAP'!$N$3:$N$525,"=42")+SUMIFS('ANALITIKA EU PROJEKATA'!$H$3:$H$586,'ANALITIKA EU PROJEKATA'!$A$3:$A$586,"=563",'ANALITIKA EU PROJEKATA'!$L$3:$L$586,"=42")</f>
        <v>0</v>
      </c>
      <c r="P82" s="138">
        <f>SUMIFS('Plan rashoda za unos u SAP'!$J$3:$J$525,'Plan rashoda za unos u SAP'!$C$3:$C$525,"=573",'Plan rashoda za unos u SAP'!$N$3:$N$525,"=42")+SUMIFS('ANALITIKA EU PROJEKATA'!$H$3:$H$586,'ANALITIKA EU PROJEKATA'!$A$3:$A$586,"=573",'ANALITIKA EU PROJEKATA'!$L$3:$L$586,"=42")</f>
        <v>0</v>
      </c>
      <c r="Q82" s="138">
        <f>SUMIFS('Plan rashoda za unos u SAP'!$J$3:$J$525,'Plan rashoda za unos u SAP'!$C$3:$C$525,"=575",'Plan rashoda za unos u SAP'!$N$3:$N$525,"=42")+SUMIFS('ANALITIKA EU PROJEKATA'!$H$3:$H$586,'ANALITIKA EU PROJEKATA'!$A$3:$A$586,"=575",'ANALITIKA EU PROJEKATA'!$L$3:$L$586,"=42")</f>
        <v>0</v>
      </c>
      <c r="R82" s="138">
        <f>SUMIFS('Plan rashoda za unos u SAP'!$J$3:$J$525,'Plan rashoda za unos u SAP'!$C$3:$C$525,"=576",'Plan rashoda za unos u SAP'!$N$3:$N$525,"=42")+SUMIFS('ANALITIKA EU PROJEKATA'!$H$3:$H$586,'ANALITIKA EU PROJEKATA'!$A$3:$A$586,"=576",'ANALITIKA EU PROJEKATA'!$L$3:$L$586,"=42")</f>
        <v>0</v>
      </c>
      <c r="S82" s="138">
        <f>SUMIFS('Plan rashoda za unos u SAP'!$J$3:$J$525,'Plan rashoda za unos u SAP'!$C$3:$C$525,"=581",'Plan rashoda za unos u SAP'!$N$3:$N$525,"=42")+SUMIFS('ANALITIKA EU PROJEKATA'!$H$3:$H$586,'ANALITIKA EU PROJEKATA'!$A$3:$A$586,"=581",'ANALITIKA EU PROJEKATA'!$L$3:$L$586,"=42")</f>
        <v>0</v>
      </c>
      <c r="T82" s="138">
        <f>SUMIFS('Plan rashoda za unos u SAP'!$J$3:$J$525,'Plan rashoda za unos u SAP'!$C$3:$C$525,"=61",'Plan rashoda za unos u SAP'!$N$3:$N$525,"=42")+SUMIFS('ANALITIKA EU PROJEKATA'!$H$3:$H$586,'ANALITIKA EU PROJEKATA'!$A$3:$A$586,"=61",'ANALITIKA EU PROJEKATA'!$L$3:$L$586,"=42")</f>
        <v>248006.58</v>
      </c>
      <c r="U82" s="138">
        <f>SUMIFS('Plan rashoda za unos u SAP'!$J$3:$J$525,'Plan rashoda za unos u SAP'!$C$3:$C$525,"=63",'Plan rashoda za unos u SAP'!$N$3:$N$525,"=42")+SUMIFS('ANALITIKA EU PROJEKATA'!$H$3:$H$586,'ANALITIKA EU PROJEKATA'!$A$3:$A$586,"=63",'ANALITIKA EU PROJEKATA'!$L$3:$L$586,"=42")</f>
        <v>0</v>
      </c>
      <c r="V82" s="138">
        <f>SUMIFS('Plan rashoda za unos u SAP'!$J$3:$J$525,'Plan rashoda za unos u SAP'!$C$3:$C$525,"=71",'Plan rashoda za unos u SAP'!$N$3:$N$525,"=42")+SUMIFS('ANALITIKA EU PROJEKATA'!$H$3:$H$586,'ANALITIKA EU PROJEKATA'!$A$3:$A$586,"=71",'ANALITIKA EU PROJEKATA'!$L$3:$L$586,"=42")</f>
        <v>0</v>
      </c>
      <c r="W82" s="138">
        <f>SUMIFS('Plan rashoda za unos u SAP'!$J$3:$J$525,'Plan rashoda za unos u SAP'!$C$3:$C$525,"=81",'Plan rashoda za unos u SAP'!$N$3:$N$525,"=42")+SUMIFS('ANALITIKA EU PROJEKATA'!$H$3:$H$586,'ANALITIKA EU PROJEKATA'!$A$3:$A$586,"=81",'ANALITIKA EU PROJEKATA'!$L$3:$L$586,"=42")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336</v>
      </c>
      <c r="D83" s="133">
        <f t="shared" si="22"/>
        <v>0</v>
      </c>
      <c r="E83" s="138">
        <f>SUMIFS('Plan rashoda za unos u SAP'!$J$3:$J$525,'Plan rashoda za unos u SAP'!$C$3:$C$525,"=11",'Plan rashoda za unos u SAP'!$N$3:$N$525,"=43")+SUMIFS('ANALITIKA EU PROJEKATA'!$H$3:$H$586,'ANALITIKA EU PROJEKATA'!$A$3:$A$586,"=11",'ANALITIKA EU PROJEKATA'!$L$3:$L$586,"=43")</f>
        <v>0</v>
      </c>
      <c r="F83" s="138">
        <f>SUMIFS('Plan rashoda za unos u SAP'!$J$3:$J$525,'Plan rashoda za unos u SAP'!$C$3:$C$525,"=12",'Plan rashoda za unos u SAP'!$N$3:$N$525,"=43")+SUMIFS('ANALITIKA EU PROJEKATA'!$H$3:$H$586,'ANALITIKA EU PROJEKATA'!$A$3:$A$586,"=12",'ANALITIKA EU PROJEKATA'!$L$3:$L$586,"=43")</f>
        <v>0</v>
      </c>
      <c r="G83" s="138">
        <f>SUMIFS('Plan rashoda za unos u SAP'!$J$3:$J$525,'Plan rashoda za unos u SAP'!$C$3:$C$525,"=31",'Plan rashoda za unos u SAP'!$N$3:$N$525,"=43")+SUMIFS('ANALITIKA EU PROJEKATA'!$H$3:$H$586,'ANALITIKA EU PROJEKATA'!$A$3:$A$586,"=31",'ANALITIKA EU PROJEKATA'!$L$3:$L$586,"=43")</f>
        <v>0</v>
      </c>
      <c r="H83" s="138">
        <f>SUMIFS('Plan rashoda za unos u SAP'!$J$3:$J$525,'Plan rashoda za unos u SAP'!$C$3:$C$525,"=41",'Plan rashoda za unos u SAP'!$N$3:$N$525,"=43")+SUMIFS('ANALITIKA EU PROJEKATA'!$H$3:$H$586,'ANALITIKA EU PROJEKATA'!$A$3:$A$586,"=41",'ANALITIKA EU PROJEKATA'!$L$3:$L$586,"=43")</f>
        <v>0</v>
      </c>
      <c r="I83" s="138">
        <f>SUMIFS('Plan rashoda za unos u SAP'!$J$3:$J$525,'Plan rashoda za unos u SAP'!$C$3:$C$525,"=43",'Plan rashoda za unos u SAP'!$N$3:$N$525,"=43")+SUMIFS('ANALITIKA EU PROJEKATA'!$H$3:$H$586,'ANALITIKA EU PROJEKATA'!$A$3:$A$586,"=43",'ANALITIKA EU PROJEKATA'!$L$3:$L$586,"=43")</f>
        <v>0</v>
      </c>
      <c r="J83" s="138">
        <f>SUMIFS('Plan rashoda za unos u SAP'!$J$3:$J$525,'Plan rashoda za unos u SAP'!$C$3:$C$525,"=51",'Plan rashoda za unos u SAP'!$N$3:$N$525,"=43")+SUMIFS('ANALITIKA EU PROJEKATA'!$H$3:$H$586,'ANALITIKA EU PROJEKATA'!$A$3:$A$586,"=51",'ANALITIKA EU PROJEKATA'!$L$3:$L$586,"=43")</f>
        <v>0</v>
      </c>
      <c r="K83" s="138">
        <f>SUMIFS('Plan rashoda za unos u SAP'!$J$3:$J$525,'Plan rashoda za unos u SAP'!$C$3:$C$525,"=52",'Plan rashoda za unos u SAP'!$N$3:$N$525,"=43")+SUMIFS('ANALITIKA EU PROJEKATA'!$H$3:$H$586,'ANALITIKA EU PROJEKATA'!$A$3:$A$586,"=52",'ANALITIKA EU PROJEKATA'!$L$3:$L$586,"=43")</f>
        <v>0</v>
      </c>
      <c r="L83" s="138">
        <f>SUMIFS('Plan rashoda za unos u SAP'!$J$3:$J$525,'Plan rashoda za unos u SAP'!$C$3:$C$525,"=552",'Plan rashoda za unos u SAP'!$N$3:$N$525,"=43")+SUMIFS('ANALITIKA EU PROJEKATA'!$H$3:$H$586,'ANALITIKA EU PROJEKATA'!$A$3:$A$586,"=552",'ANALITIKA EU PROJEKATA'!$L$3:$L$586,"=43")</f>
        <v>0</v>
      </c>
      <c r="M83" s="138">
        <f>SUMIFS('Plan rashoda za unos u SAP'!$J$3:$J$525,'Plan rashoda za unos u SAP'!$C$3:$C$525,"=559",'Plan rashoda za unos u SAP'!$N$3:$N$525,"=43")+SUMIFS('ANALITIKA EU PROJEKATA'!$H$3:$H$586,'ANALITIKA EU PROJEKATA'!$A$3:$A$586,"=559",'ANALITIKA EU PROJEKATA'!$L$3:$L$586,"=43")</f>
        <v>0</v>
      </c>
      <c r="N83" s="138">
        <f>SUMIFS('Plan rashoda za unos u SAP'!$J$3:$J$525,'Plan rashoda za unos u SAP'!$C$3:$C$525,"=561",'Plan rashoda za unos u SAP'!$N$3:$N$525,"=43")+SUMIFS('ANALITIKA EU PROJEKATA'!$H$3:$H$586,'ANALITIKA EU PROJEKATA'!$A$3:$A$586,"=561",'ANALITIKA EU PROJEKATA'!$L$3:$L$586,"=43")</f>
        <v>0</v>
      </c>
      <c r="O83" s="138">
        <f>SUMIFS('Plan rashoda za unos u SAP'!$J$3:$J$525,'Plan rashoda za unos u SAP'!$C$3:$C$525,"=563",'Plan rashoda za unos u SAP'!$N$3:$N$525,"=43")+SUMIFS('ANALITIKA EU PROJEKATA'!$H$3:$H$586,'ANALITIKA EU PROJEKATA'!$A$3:$A$586,"=563",'ANALITIKA EU PROJEKATA'!$L$3:$L$586,"=43")</f>
        <v>0</v>
      </c>
      <c r="P83" s="138">
        <f>SUMIFS('Plan rashoda za unos u SAP'!$J$3:$J$525,'Plan rashoda za unos u SAP'!$C$3:$C$525,"=573",'Plan rashoda za unos u SAP'!$N$3:$N$525,"=43")+SUMIFS('ANALITIKA EU PROJEKATA'!$H$3:$H$586,'ANALITIKA EU PROJEKATA'!$A$3:$A$586,"=573",'ANALITIKA EU PROJEKATA'!$L$3:$L$586,"=43")</f>
        <v>0</v>
      </c>
      <c r="Q83" s="138">
        <f>SUMIFS('Plan rashoda za unos u SAP'!$J$3:$J$525,'Plan rashoda za unos u SAP'!$C$3:$C$525,"=575",'Plan rashoda za unos u SAP'!$N$3:$N$525,"=43")+SUMIFS('ANALITIKA EU PROJEKATA'!$H$3:$H$586,'ANALITIKA EU PROJEKATA'!$A$3:$A$586,"=575",'ANALITIKA EU PROJEKATA'!$L$3:$L$586,"=43")</f>
        <v>0</v>
      </c>
      <c r="R83" s="138">
        <f>SUMIFS('Plan rashoda za unos u SAP'!$J$3:$J$525,'Plan rashoda za unos u SAP'!$C$3:$C$525,"=576",'Plan rashoda za unos u SAP'!$N$3:$N$525,"=43")+SUMIFS('ANALITIKA EU PROJEKATA'!$H$3:$H$586,'ANALITIKA EU PROJEKATA'!$A$3:$A$586,"=576",'ANALITIKA EU PROJEKATA'!$L$3:$L$586,"=43")</f>
        <v>0</v>
      </c>
      <c r="S83" s="138">
        <f>SUMIFS('Plan rashoda za unos u SAP'!$J$3:$J$525,'Plan rashoda za unos u SAP'!$C$3:$C$525,"=581",'Plan rashoda za unos u SAP'!$N$3:$N$525,"=43")+SUMIFS('ANALITIKA EU PROJEKATA'!$H$3:$H$586,'ANALITIKA EU PROJEKATA'!$A$3:$A$586,"=581",'ANALITIKA EU PROJEKATA'!$L$3:$L$586,"=43")</f>
        <v>0</v>
      </c>
      <c r="T83" s="138">
        <f>SUMIFS('Plan rashoda za unos u SAP'!$J$3:$J$525,'Plan rashoda za unos u SAP'!$C$3:$C$525,"=61",'Plan rashoda za unos u SAP'!$N$3:$N$525,"=43")+SUMIFS('ANALITIKA EU PROJEKATA'!$H$3:$H$586,'ANALITIKA EU PROJEKATA'!$A$3:$A$586,"=61",'ANALITIKA EU PROJEKATA'!$L$3:$L$586,"=43")</f>
        <v>0</v>
      </c>
      <c r="U83" s="138">
        <f>SUMIFS('Plan rashoda za unos u SAP'!$J$3:$J$525,'Plan rashoda za unos u SAP'!$C$3:$C$525,"=63",'Plan rashoda za unos u SAP'!$N$3:$N$525,"=43")+SUMIFS('ANALITIKA EU PROJEKATA'!$H$3:$H$586,'ANALITIKA EU PROJEKATA'!$A$3:$A$586,"=63",'ANALITIKA EU PROJEKATA'!$L$3:$L$586,"=43")</f>
        <v>0</v>
      </c>
      <c r="V83" s="138">
        <f>SUMIFS('Plan rashoda za unos u SAP'!$J$3:$J$525,'Plan rashoda za unos u SAP'!$C$3:$C$525,"=71",'Plan rashoda za unos u SAP'!$N$3:$N$525,"=43")+SUMIFS('ANALITIKA EU PROJEKATA'!$H$3:$H$586,'ANALITIKA EU PROJEKATA'!$A$3:$A$586,"=71",'ANALITIKA EU PROJEKATA'!$L$3:$L$586,"=43")</f>
        <v>0</v>
      </c>
      <c r="W83" s="138">
        <f>SUMIFS('Plan rashoda za unos u SAP'!$J$3:$J$525,'Plan rashoda za unos u SAP'!$C$3:$C$525,"=81",'Plan rashoda za unos u SAP'!$N$3:$N$525,"=43")+SUMIFS('ANALITIKA EU PROJEKATA'!$H$3:$H$586,'ANALITIKA EU PROJEKATA'!$A$3:$A$586,"=81",'ANALITIKA EU PROJEKATA'!$L$3:$L$586,"=43")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337</v>
      </c>
      <c r="D84" s="133">
        <f t="shared" si="22"/>
        <v>0</v>
      </c>
      <c r="E84" s="138">
        <f>SUMIFS('Plan rashoda za unos u SAP'!$J$3:$J$525,'Plan rashoda za unos u SAP'!$C$3:$C$525,"=11",'Plan rashoda za unos u SAP'!$N$3:$N$525,"=44")+SUMIFS('ANALITIKA EU PROJEKATA'!$H$3:$H$586,'ANALITIKA EU PROJEKATA'!$A$3:$A$586,"=11",'ANALITIKA EU PROJEKATA'!$L$3:$L$586,"=44")</f>
        <v>0</v>
      </c>
      <c r="F84" s="138">
        <f>SUMIFS('Plan rashoda za unos u SAP'!$J$3:$J$525,'Plan rashoda za unos u SAP'!$C$3:$C$525,"=12",'Plan rashoda za unos u SAP'!$N$3:$N$525,"=44")+SUMIFS('ANALITIKA EU PROJEKATA'!$H$3:$H$586,'ANALITIKA EU PROJEKATA'!$A$3:$A$586,"=12",'ANALITIKA EU PROJEKATA'!$L$3:$L$586,"=44")</f>
        <v>0</v>
      </c>
      <c r="G84" s="138">
        <f>SUMIFS('Plan rashoda za unos u SAP'!$J$3:$J$525,'Plan rashoda za unos u SAP'!$C$3:$C$525,"=31",'Plan rashoda za unos u SAP'!$N$3:$N$525,"=44")+SUMIFS('ANALITIKA EU PROJEKATA'!$H$3:$H$586,'ANALITIKA EU PROJEKATA'!$A$3:$A$586,"=31",'ANALITIKA EU PROJEKATA'!$L$3:$L$586,"=44")</f>
        <v>0</v>
      </c>
      <c r="H84" s="138">
        <f>SUMIFS('Plan rashoda za unos u SAP'!$J$3:$J$525,'Plan rashoda za unos u SAP'!$C$3:$C$525,"=41",'Plan rashoda za unos u SAP'!$N$3:$N$525,"=44")+SUMIFS('ANALITIKA EU PROJEKATA'!$H$3:$H$586,'ANALITIKA EU PROJEKATA'!$A$3:$A$586,"=41",'ANALITIKA EU PROJEKATA'!$L$3:$L$586,"=44")</f>
        <v>0</v>
      </c>
      <c r="I84" s="138">
        <f>SUMIFS('Plan rashoda za unos u SAP'!$J$3:$J$525,'Plan rashoda za unos u SAP'!$C$3:$C$525,"=43",'Plan rashoda za unos u SAP'!$N$3:$N$525,"=44")+SUMIFS('ANALITIKA EU PROJEKATA'!$H$3:$H$586,'ANALITIKA EU PROJEKATA'!$A$3:$A$586,"=43",'ANALITIKA EU PROJEKATA'!$L$3:$L$586,"=44")</f>
        <v>0</v>
      </c>
      <c r="J84" s="138">
        <f>SUMIFS('Plan rashoda za unos u SAP'!$J$3:$J$525,'Plan rashoda za unos u SAP'!$C$3:$C$525,"=51",'Plan rashoda za unos u SAP'!$N$3:$N$525,"=44")+SUMIFS('ANALITIKA EU PROJEKATA'!$H$3:$H$586,'ANALITIKA EU PROJEKATA'!$A$3:$A$586,"=51",'ANALITIKA EU PROJEKATA'!$L$3:$L$586,"=44")</f>
        <v>0</v>
      </c>
      <c r="K84" s="138">
        <f>SUMIFS('Plan rashoda za unos u SAP'!$J$3:$J$525,'Plan rashoda za unos u SAP'!$C$3:$C$525,"=52",'Plan rashoda za unos u SAP'!$N$3:$N$525,"=44")+SUMIFS('ANALITIKA EU PROJEKATA'!$H$3:$H$586,'ANALITIKA EU PROJEKATA'!$A$3:$A$586,"=52",'ANALITIKA EU PROJEKATA'!$L$3:$L$586,"=44")</f>
        <v>0</v>
      </c>
      <c r="L84" s="138">
        <f>SUMIFS('Plan rashoda za unos u SAP'!$J$3:$J$525,'Plan rashoda za unos u SAP'!$C$3:$C$525,"=552",'Plan rashoda za unos u SAP'!$N$3:$N$525,"=44")+SUMIFS('ANALITIKA EU PROJEKATA'!$H$3:$H$586,'ANALITIKA EU PROJEKATA'!$A$3:$A$586,"=552",'ANALITIKA EU PROJEKATA'!$L$3:$L$586,"=44")</f>
        <v>0</v>
      </c>
      <c r="M84" s="138">
        <f>SUMIFS('Plan rashoda za unos u SAP'!$J$3:$J$525,'Plan rashoda za unos u SAP'!$C$3:$C$525,"=559",'Plan rashoda za unos u SAP'!$N$3:$N$525,"=44")+SUMIFS('ANALITIKA EU PROJEKATA'!$H$3:$H$586,'ANALITIKA EU PROJEKATA'!$A$3:$A$586,"=559",'ANALITIKA EU PROJEKATA'!$L$3:$L$586,"=44")</f>
        <v>0</v>
      </c>
      <c r="N84" s="138">
        <f>SUMIFS('Plan rashoda za unos u SAP'!$J$3:$J$525,'Plan rashoda za unos u SAP'!$C$3:$C$525,"=561",'Plan rashoda za unos u SAP'!$N$3:$N$525,"=44")+SUMIFS('ANALITIKA EU PROJEKATA'!$H$3:$H$586,'ANALITIKA EU PROJEKATA'!$A$3:$A$586,"=561",'ANALITIKA EU PROJEKATA'!$L$3:$L$586,"=44")</f>
        <v>0</v>
      </c>
      <c r="O84" s="138">
        <f>SUMIFS('Plan rashoda za unos u SAP'!$J$3:$J$525,'Plan rashoda za unos u SAP'!$C$3:$C$525,"=563",'Plan rashoda za unos u SAP'!$N$3:$N$525,"=44")+SUMIFS('ANALITIKA EU PROJEKATA'!$H$3:$H$586,'ANALITIKA EU PROJEKATA'!$A$3:$A$586,"=563",'ANALITIKA EU PROJEKATA'!$L$3:$L$586,"=44")</f>
        <v>0</v>
      </c>
      <c r="P84" s="138">
        <f>SUMIFS('Plan rashoda za unos u SAP'!$J$3:$J$525,'Plan rashoda za unos u SAP'!$C$3:$C$525,"=573",'Plan rashoda za unos u SAP'!$N$3:$N$525,"=44")+SUMIFS('ANALITIKA EU PROJEKATA'!$H$3:$H$586,'ANALITIKA EU PROJEKATA'!$A$3:$A$586,"=573",'ANALITIKA EU PROJEKATA'!$L$3:$L$586,"=44")</f>
        <v>0</v>
      </c>
      <c r="Q84" s="138">
        <f>SUMIFS('Plan rashoda za unos u SAP'!$J$3:$J$525,'Plan rashoda za unos u SAP'!$C$3:$C$525,"=575",'Plan rashoda za unos u SAP'!$N$3:$N$525,"=44")+SUMIFS('ANALITIKA EU PROJEKATA'!$H$3:$H$586,'ANALITIKA EU PROJEKATA'!$A$3:$A$586,"=575",'ANALITIKA EU PROJEKATA'!$L$3:$L$586,"=44")</f>
        <v>0</v>
      </c>
      <c r="R84" s="138">
        <f>SUMIFS('Plan rashoda za unos u SAP'!$J$3:$J$525,'Plan rashoda za unos u SAP'!$C$3:$C$525,"=576",'Plan rashoda za unos u SAP'!$N$3:$N$525,"=44")+SUMIFS('ANALITIKA EU PROJEKATA'!$H$3:$H$586,'ANALITIKA EU PROJEKATA'!$A$3:$A$586,"=576",'ANALITIKA EU PROJEKATA'!$L$3:$L$586,"=44")</f>
        <v>0</v>
      </c>
      <c r="S84" s="138">
        <f>SUMIFS('Plan rashoda za unos u SAP'!$J$3:$J$525,'Plan rashoda za unos u SAP'!$C$3:$C$525,"=581",'Plan rashoda za unos u SAP'!$N$3:$N$525,"=44")+SUMIFS('ANALITIKA EU PROJEKATA'!$H$3:$H$586,'ANALITIKA EU PROJEKATA'!$A$3:$A$586,"=581",'ANALITIKA EU PROJEKATA'!$L$3:$L$586,"=44")</f>
        <v>0</v>
      </c>
      <c r="T84" s="138">
        <f>SUMIFS('Plan rashoda za unos u SAP'!$J$3:$J$525,'Plan rashoda za unos u SAP'!$C$3:$C$525,"=61",'Plan rashoda za unos u SAP'!$N$3:$N$525,"=44")+SUMIFS('ANALITIKA EU PROJEKATA'!$H$3:$H$586,'ANALITIKA EU PROJEKATA'!$A$3:$A$586,"=61",'ANALITIKA EU PROJEKATA'!$L$3:$L$586,"=44")</f>
        <v>0</v>
      </c>
      <c r="U84" s="138">
        <f>SUMIFS('Plan rashoda za unos u SAP'!$J$3:$J$525,'Plan rashoda za unos u SAP'!$C$3:$C$525,"=63",'Plan rashoda za unos u SAP'!$N$3:$N$525,"=44")+SUMIFS('ANALITIKA EU PROJEKATA'!$H$3:$H$586,'ANALITIKA EU PROJEKATA'!$A$3:$A$586,"=63",'ANALITIKA EU PROJEKATA'!$L$3:$L$586,"=44")</f>
        <v>0</v>
      </c>
      <c r="V84" s="138">
        <f>SUMIFS('Plan rashoda za unos u SAP'!$J$3:$J$525,'Plan rashoda za unos u SAP'!$C$3:$C$525,"=71",'Plan rashoda za unos u SAP'!$N$3:$N$525,"=44")+SUMIFS('ANALITIKA EU PROJEKATA'!$H$3:$H$586,'ANALITIKA EU PROJEKATA'!$A$3:$A$586,"=71",'ANALITIKA EU PROJEKATA'!$L$3:$L$586,"=44")</f>
        <v>0</v>
      </c>
      <c r="W84" s="138">
        <f>SUMIFS('Plan rashoda za unos u SAP'!$J$3:$J$525,'Plan rashoda za unos u SAP'!$C$3:$C$525,"=81",'Plan rashoda za unos u SAP'!$N$3:$N$525,"=44")+SUMIFS('ANALITIKA EU PROJEKATA'!$H$3:$H$586,'ANALITIKA EU PROJEKATA'!$A$3:$A$586,"=81",'ANALITIKA EU PROJEKATA'!$L$3:$L$586,"=44")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17238050</v>
      </c>
      <c r="E85" s="138">
        <f>SUMIFS('Plan rashoda za unos u SAP'!$J$3:$J$525,'Plan rashoda za unos u SAP'!$C$3:$C$525,"=11",'Plan rashoda za unos u SAP'!$N$3:$N$525,"=45")+SUMIFS('ANALITIKA EU PROJEKATA'!$H$3:$H$586,'ANALITIKA EU PROJEKATA'!$A$3:$A$586,"=11",'ANALITIKA EU PROJEKATA'!$L$3:$L$586,"=45")</f>
        <v>0</v>
      </c>
      <c r="F85" s="138">
        <f>SUMIFS('Plan rashoda za unos u SAP'!$J$3:$J$525,'Plan rashoda za unos u SAP'!$C$3:$C$525,"=12",'Plan rashoda za unos u SAP'!$N$3:$N$525,"=45")+SUMIFS('ANALITIKA EU PROJEKATA'!$H$3:$H$586,'ANALITIKA EU PROJEKATA'!$A$3:$A$586,"=12",'ANALITIKA EU PROJEKATA'!$L$3:$L$586,"=45")</f>
        <v>0</v>
      </c>
      <c r="G85" s="138">
        <f>SUMIFS('Plan rashoda za unos u SAP'!$J$3:$J$525,'Plan rashoda za unos u SAP'!$C$3:$C$525,"=31",'Plan rashoda za unos u SAP'!$N$3:$N$525,"=45")+SUMIFS('ANALITIKA EU PROJEKATA'!$H$3:$H$586,'ANALITIKA EU PROJEKATA'!$A$3:$A$586,"=31",'ANALITIKA EU PROJEKATA'!$L$3:$L$586,"=45")</f>
        <v>762078</v>
      </c>
      <c r="H85" s="138">
        <f>SUMIFS('Plan rashoda za unos u SAP'!$J$3:$J$525,'Plan rashoda za unos u SAP'!$C$3:$C$525,"=41",'Plan rashoda za unos u SAP'!$N$3:$N$525,"=45")+SUMIFS('ANALITIKA EU PROJEKATA'!$H$3:$H$586,'ANALITIKA EU PROJEKATA'!$A$3:$A$586,"=41",'ANALITIKA EU PROJEKATA'!$L$3:$L$586,"=45")</f>
        <v>0</v>
      </c>
      <c r="I85" s="138">
        <f>SUMIFS('Plan rashoda za unos u SAP'!$J$3:$J$525,'Plan rashoda za unos u SAP'!$C$3:$C$525,"=43",'Plan rashoda za unos u SAP'!$N$3:$N$525,"=45")+SUMIFS('ANALITIKA EU PROJEKATA'!$H$3:$H$586,'ANALITIKA EU PROJEKATA'!$A$3:$A$586,"=43",'ANALITIKA EU PROJEKATA'!$L$3:$L$586,"=45")</f>
        <v>0</v>
      </c>
      <c r="J85" s="138">
        <f>SUMIFS('Plan rashoda za unos u SAP'!$J$3:$J$525,'Plan rashoda za unos u SAP'!$C$3:$C$525,"=51",'Plan rashoda za unos u SAP'!$N$3:$N$525,"=45")+SUMIFS('ANALITIKA EU PROJEKATA'!$H$3:$H$586,'ANALITIKA EU PROJEKATA'!$A$3:$A$586,"=51",'ANALITIKA EU PROJEKATA'!$L$3:$L$586,"=45")</f>
        <v>0</v>
      </c>
      <c r="K85" s="138">
        <f>SUMIFS('Plan rashoda za unos u SAP'!$J$3:$J$525,'Plan rashoda za unos u SAP'!$C$3:$C$525,"=52",'Plan rashoda za unos u SAP'!$N$3:$N$525,"=45")+SUMIFS('ANALITIKA EU PROJEKATA'!$H$3:$H$586,'ANALITIKA EU PROJEKATA'!$A$3:$A$586,"=52",'ANALITIKA EU PROJEKATA'!$L$3:$L$586,"=45")</f>
        <v>16475972</v>
      </c>
      <c r="L85" s="138">
        <f>SUMIFS('Plan rashoda za unos u SAP'!$J$3:$J$525,'Plan rashoda za unos u SAP'!$C$3:$C$525,"=552",'Plan rashoda za unos u SAP'!$N$3:$N$525,"=45")+SUMIFS('ANALITIKA EU PROJEKATA'!$H$3:$H$586,'ANALITIKA EU PROJEKATA'!$A$3:$A$586,"=552",'ANALITIKA EU PROJEKATA'!$L$3:$L$586,"=45")</f>
        <v>0</v>
      </c>
      <c r="M85" s="138">
        <f>SUMIFS('Plan rashoda za unos u SAP'!$J$3:$J$525,'Plan rashoda za unos u SAP'!$C$3:$C$525,"=559",'Plan rashoda za unos u SAP'!$N$3:$N$525,"=45")+SUMIFS('ANALITIKA EU PROJEKATA'!$H$3:$H$586,'ANALITIKA EU PROJEKATA'!$A$3:$A$586,"=559",'ANALITIKA EU PROJEKATA'!$L$3:$L$586,"=45")</f>
        <v>0</v>
      </c>
      <c r="N85" s="138">
        <f>SUMIFS('Plan rashoda za unos u SAP'!$J$3:$J$525,'Plan rashoda za unos u SAP'!$C$3:$C$525,"=561",'Plan rashoda za unos u SAP'!$N$3:$N$525,"=45")+SUMIFS('ANALITIKA EU PROJEKATA'!$H$3:$H$586,'ANALITIKA EU PROJEKATA'!$A$3:$A$586,"=561",'ANALITIKA EU PROJEKATA'!$L$3:$L$586,"=45")</f>
        <v>0</v>
      </c>
      <c r="O85" s="138">
        <f>SUMIFS('Plan rashoda za unos u SAP'!$J$3:$J$525,'Plan rashoda za unos u SAP'!$C$3:$C$525,"=563",'Plan rashoda za unos u SAP'!$N$3:$N$525,"=45")+SUMIFS('ANALITIKA EU PROJEKATA'!$H$3:$H$586,'ANALITIKA EU PROJEKATA'!$A$3:$A$586,"=563",'ANALITIKA EU PROJEKATA'!$L$3:$L$586,"=45")</f>
        <v>0</v>
      </c>
      <c r="P85" s="138">
        <f>SUMIFS('Plan rashoda za unos u SAP'!$J$3:$J$525,'Plan rashoda za unos u SAP'!$C$3:$C$525,"=573",'Plan rashoda za unos u SAP'!$N$3:$N$525,"=45")+SUMIFS('ANALITIKA EU PROJEKATA'!$H$3:$H$586,'ANALITIKA EU PROJEKATA'!$A$3:$A$586,"=573",'ANALITIKA EU PROJEKATA'!$L$3:$L$586,"=45")</f>
        <v>0</v>
      </c>
      <c r="Q85" s="138">
        <f>SUMIFS('Plan rashoda za unos u SAP'!$J$3:$J$525,'Plan rashoda za unos u SAP'!$C$3:$C$525,"=575",'Plan rashoda za unos u SAP'!$N$3:$N$525,"=45")+SUMIFS('ANALITIKA EU PROJEKATA'!$H$3:$H$586,'ANALITIKA EU PROJEKATA'!$A$3:$A$586,"=575",'ANALITIKA EU PROJEKATA'!$L$3:$L$586,"=45")</f>
        <v>0</v>
      </c>
      <c r="R85" s="138">
        <f>SUMIFS('Plan rashoda za unos u SAP'!$J$3:$J$525,'Plan rashoda za unos u SAP'!$C$3:$C$525,"=576",'Plan rashoda za unos u SAP'!$N$3:$N$525,"=45")+SUMIFS('ANALITIKA EU PROJEKATA'!$H$3:$H$586,'ANALITIKA EU PROJEKATA'!$A$3:$A$586,"=576",'ANALITIKA EU PROJEKATA'!$L$3:$L$586,"=45")</f>
        <v>0</v>
      </c>
      <c r="S85" s="138">
        <f>SUMIFS('Plan rashoda za unos u SAP'!$J$3:$J$525,'Plan rashoda za unos u SAP'!$C$3:$C$525,"=581",'Plan rashoda za unos u SAP'!$N$3:$N$525,"=45")+SUMIFS('ANALITIKA EU PROJEKATA'!$H$3:$H$586,'ANALITIKA EU PROJEKATA'!$A$3:$A$586,"=581",'ANALITIKA EU PROJEKATA'!$L$3:$L$586,"=45")</f>
        <v>0</v>
      </c>
      <c r="T85" s="138">
        <f>SUMIFS('Plan rashoda za unos u SAP'!$J$3:$J$525,'Plan rashoda za unos u SAP'!$C$3:$C$525,"=61",'Plan rashoda za unos u SAP'!$N$3:$N$525,"=45")+SUMIFS('ANALITIKA EU PROJEKATA'!$H$3:$H$586,'ANALITIKA EU PROJEKATA'!$A$3:$A$586,"=61",'ANALITIKA EU PROJEKATA'!$L$3:$L$586,"=45")</f>
        <v>0</v>
      </c>
      <c r="U85" s="138">
        <f>SUMIFS('Plan rashoda za unos u SAP'!$J$3:$J$525,'Plan rashoda za unos u SAP'!$C$3:$C$525,"=63",'Plan rashoda za unos u SAP'!$N$3:$N$525,"=45")+SUMIFS('ANALITIKA EU PROJEKATA'!$H$3:$H$586,'ANALITIKA EU PROJEKATA'!$A$3:$A$586,"=63",'ANALITIKA EU PROJEKATA'!$L$3:$L$586,"=45")</f>
        <v>0</v>
      </c>
      <c r="V85" s="138">
        <f>SUMIFS('Plan rashoda za unos u SAP'!$J$3:$J$525,'Plan rashoda za unos u SAP'!$C$3:$C$525,"=71",'Plan rashoda za unos u SAP'!$N$3:$N$525,"=45")+SUMIFS('ANALITIKA EU PROJEKATA'!$H$3:$H$586,'ANALITIKA EU PROJEKATA'!$A$3:$A$586,"=71",'ANALITIKA EU PROJEKATA'!$L$3:$L$586,"=45")</f>
        <v>0</v>
      </c>
      <c r="W85" s="138">
        <f>SUMIFS('Plan rashoda za unos u SAP'!$J$3:$J$525,'Plan rashoda za unos u SAP'!$C$3:$C$525,"=81",'Plan rashoda za unos u SAP'!$N$3:$N$525,"=45")+SUMIFS('ANALITIKA EU PROJEKATA'!$H$3:$H$586,'ANALITIKA EU PROJEKATA'!$A$3:$A$586,"=81",'ANALITIKA EU PROJEKATA'!$L$3:$L$586,"=45")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346</v>
      </c>
      <c r="D87" s="78">
        <f t="shared" si="22"/>
        <v>0</v>
      </c>
      <c r="E87" s="138">
        <f>SUMIFS('Plan rashoda za unos u SAP'!$J$3:$J$525,'Plan rashoda za unos u SAP'!$C$3:$C$525,"=11",'Plan rashoda za unos u SAP'!$N$3:$N$525,"=51")+SUMIFS('ANALITIKA EU PROJEKATA'!$H$3:$H$586,'ANALITIKA EU PROJEKATA'!$A$3:$A$586,"=11",'ANALITIKA EU PROJEKATA'!$L$3:$L$586,"=51")</f>
        <v>0</v>
      </c>
      <c r="F87" s="138">
        <f>SUMIFS('Plan rashoda za unos u SAP'!$J$3:$J$525,'Plan rashoda za unos u SAP'!$C$3:$C$525,"=12",'Plan rashoda za unos u SAP'!$N$3:$N$525,"=51")+SUMIFS('ANALITIKA EU PROJEKATA'!$H$3:$H$586,'ANALITIKA EU PROJEKATA'!$A$3:$A$586,"=12",'ANALITIKA EU PROJEKATA'!$L$3:$L$586,"=51")</f>
        <v>0</v>
      </c>
      <c r="G87" s="138">
        <f>SUMIFS('Plan rashoda za unos u SAP'!$J$3:$J$525,'Plan rashoda za unos u SAP'!$C$3:$C$525,"=31",'Plan rashoda za unos u SAP'!$N$3:$N$525,"=51")+SUMIFS('ANALITIKA EU PROJEKATA'!$H$3:$H$586,'ANALITIKA EU PROJEKATA'!$A$3:$A$586,"=31",'ANALITIKA EU PROJEKATA'!$L$3:$L$586,"=51")</f>
        <v>0</v>
      </c>
      <c r="H87" s="138">
        <f>SUMIFS('Plan rashoda za unos u SAP'!$J$3:$J$525,'Plan rashoda za unos u SAP'!$C$3:$C$525,"=41",'Plan rashoda za unos u SAP'!$N$3:$N$525,"=51")+SUMIFS('ANALITIKA EU PROJEKATA'!$H$3:$H$586,'ANALITIKA EU PROJEKATA'!$A$3:$A$586,"=41",'ANALITIKA EU PROJEKATA'!$L$3:$L$586,"=51")</f>
        <v>0</v>
      </c>
      <c r="I87" s="138">
        <f>SUMIFS('Plan rashoda za unos u SAP'!$J$3:$J$525,'Plan rashoda za unos u SAP'!$C$3:$C$525,"=43",'Plan rashoda za unos u SAP'!$N$3:$N$525,"=51")+SUMIFS('ANALITIKA EU PROJEKATA'!$H$3:$H$586,'ANALITIKA EU PROJEKATA'!$A$3:$A$586,"=43",'ANALITIKA EU PROJEKATA'!$L$3:$L$586,"=51")</f>
        <v>0</v>
      </c>
      <c r="J87" s="138">
        <f>SUMIFS('Plan rashoda za unos u SAP'!$J$3:$J$525,'Plan rashoda za unos u SAP'!$C$3:$C$525,"=51",'Plan rashoda za unos u SAP'!$N$3:$N$525,"=51")+SUMIFS('ANALITIKA EU PROJEKATA'!$H$3:$H$586,'ANALITIKA EU PROJEKATA'!$A$3:$A$586,"=51",'ANALITIKA EU PROJEKATA'!$L$3:$L$586,"=51")</f>
        <v>0</v>
      </c>
      <c r="K87" s="138">
        <f>SUMIFS('Plan rashoda za unos u SAP'!$J$3:$J$525,'Plan rashoda za unos u SAP'!$C$3:$C$525,"=52",'Plan rashoda za unos u SAP'!$N$3:$N$525,"=51")+SUMIFS('ANALITIKA EU PROJEKATA'!$H$3:$H$586,'ANALITIKA EU PROJEKATA'!$A$3:$A$586,"=52",'ANALITIKA EU PROJEKATA'!$L$3:$L$586,"=51")</f>
        <v>0</v>
      </c>
      <c r="L87" s="138">
        <f>SUMIFS('Plan rashoda za unos u SAP'!$J$3:$J$525,'Plan rashoda za unos u SAP'!$C$3:$C$525,"=552",'Plan rashoda za unos u SAP'!$N$3:$N$525,"=51")+SUMIFS('ANALITIKA EU PROJEKATA'!$H$3:$H$586,'ANALITIKA EU PROJEKATA'!$A$3:$A$586,"=552",'ANALITIKA EU PROJEKATA'!$L$3:$L$586,"=51")</f>
        <v>0</v>
      </c>
      <c r="M87" s="138">
        <f>SUMIFS('Plan rashoda za unos u SAP'!$J$3:$J$525,'Plan rashoda za unos u SAP'!$C$3:$C$525,"=559",'Plan rashoda za unos u SAP'!$N$3:$N$525,"=51")+SUMIFS('ANALITIKA EU PROJEKATA'!$H$3:$H$586,'ANALITIKA EU PROJEKATA'!$A$3:$A$586,"=559",'ANALITIKA EU PROJEKATA'!$L$3:$L$586,"=51")</f>
        <v>0</v>
      </c>
      <c r="N87" s="138">
        <f>SUMIFS('Plan rashoda za unos u SAP'!$J$3:$J$525,'Plan rashoda za unos u SAP'!$C$3:$C$525,"=561",'Plan rashoda za unos u SAP'!$N$3:$N$525,"=51")+SUMIFS('ANALITIKA EU PROJEKATA'!$H$3:$H$586,'ANALITIKA EU PROJEKATA'!$A$3:$A$586,"=561",'ANALITIKA EU PROJEKATA'!$L$3:$L$586,"=51")</f>
        <v>0</v>
      </c>
      <c r="O87" s="138">
        <f>SUMIFS('Plan rashoda za unos u SAP'!$J$3:$J$525,'Plan rashoda za unos u SAP'!$C$3:$C$525,"=563",'Plan rashoda za unos u SAP'!$N$3:$N$525,"=51")+SUMIFS('ANALITIKA EU PROJEKATA'!$H$3:$H$586,'ANALITIKA EU PROJEKATA'!$A$3:$A$586,"=563",'ANALITIKA EU PROJEKATA'!$L$3:$L$586,"=51")</f>
        <v>0</v>
      </c>
      <c r="P87" s="138">
        <f>SUMIFS('Plan rashoda za unos u SAP'!$J$3:$J$525,'Plan rashoda za unos u SAP'!$C$3:$C$525,"=573",'Plan rashoda za unos u SAP'!$N$3:$N$525,"=51")+SUMIFS('ANALITIKA EU PROJEKATA'!$H$3:$H$586,'ANALITIKA EU PROJEKATA'!$A$3:$A$586,"=573",'ANALITIKA EU PROJEKATA'!$L$3:$L$586,"=51")</f>
        <v>0</v>
      </c>
      <c r="Q87" s="138">
        <f>SUMIFS('Plan rashoda za unos u SAP'!$J$3:$J$525,'Plan rashoda za unos u SAP'!$C$3:$C$525,"=575",'Plan rashoda za unos u SAP'!$N$3:$N$525,"=51")+SUMIFS('ANALITIKA EU PROJEKATA'!$H$3:$H$586,'ANALITIKA EU PROJEKATA'!$A$3:$A$586,"=575",'ANALITIKA EU PROJEKATA'!$L$3:$L$586,"=51")</f>
        <v>0</v>
      </c>
      <c r="R87" s="138">
        <f>SUMIFS('Plan rashoda za unos u SAP'!$J$3:$J$525,'Plan rashoda za unos u SAP'!$C$3:$C$525,"=576",'Plan rashoda za unos u SAP'!$N$3:$N$525,"=51")+SUMIFS('ANALITIKA EU PROJEKATA'!$H$3:$H$586,'ANALITIKA EU PROJEKATA'!$A$3:$A$586,"=576",'ANALITIKA EU PROJEKATA'!$L$3:$L$586,"=51")</f>
        <v>0</v>
      </c>
      <c r="S87" s="138">
        <f>SUMIFS('Plan rashoda za unos u SAP'!$J$3:$J$525,'Plan rashoda za unos u SAP'!$C$3:$C$525,"=581",'Plan rashoda za unos u SAP'!$N$3:$N$525,"=51")+SUMIFS('ANALITIKA EU PROJEKATA'!$H$3:$H$586,'ANALITIKA EU PROJEKATA'!$A$3:$A$586,"=581",'ANALITIKA EU PROJEKATA'!$L$3:$L$586,"=51")</f>
        <v>0</v>
      </c>
      <c r="T87" s="138">
        <f>SUMIFS('Plan rashoda za unos u SAP'!$J$3:$J$525,'Plan rashoda za unos u SAP'!$C$3:$C$525,"=61",'Plan rashoda za unos u SAP'!$N$3:$N$525,"=51")+SUMIFS('ANALITIKA EU PROJEKATA'!$H$3:$H$586,'ANALITIKA EU PROJEKATA'!$A$3:$A$586,"=61",'ANALITIKA EU PROJEKATA'!$L$3:$L$586,"=51")</f>
        <v>0</v>
      </c>
      <c r="U87" s="138">
        <f>SUMIFS('Plan rashoda za unos u SAP'!$J$3:$J$525,'Plan rashoda za unos u SAP'!$C$3:$C$525,"=63",'Plan rashoda za unos u SAP'!$N$3:$N$525,"=51")+SUMIFS('ANALITIKA EU PROJEKATA'!$H$3:$H$586,'ANALITIKA EU PROJEKATA'!$A$3:$A$586,"=63",'ANALITIKA EU PROJEKATA'!$L$3:$L$586,"=51")</f>
        <v>0</v>
      </c>
      <c r="V87" s="138">
        <f>SUMIFS('Plan rashoda za unos u SAP'!$J$3:$J$525,'Plan rashoda za unos u SAP'!$C$3:$C$525,"=71",'Plan rashoda za unos u SAP'!$N$3:$N$525,"=51")+SUMIFS('ANALITIKA EU PROJEKATA'!$H$3:$H$586,'ANALITIKA EU PROJEKATA'!$A$3:$A$586,"=71",'ANALITIKA EU PROJEKATA'!$L$3:$L$586,"=51")</f>
        <v>0</v>
      </c>
      <c r="W87" s="138">
        <f>SUMIFS('Plan rashoda za unos u SAP'!$J$3:$J$525,'Plan rashoda za unos u SAP'!$C$3:$C$525,"=81",'Plan rashoda za unos u SAP'!$N$3:$N$525,"=51")+SUMIFS('ANALITIKA EU PROJEKATA'!$H$3:$H$586,'ANALITIKA EU PROJEKATA'!$A$3:$A$586,"=81",'ANALITIKA EU PROJEKATA'!$L$3:$L$586,"=51")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347</v>
      </c>
      <c r="D88" s="78">
        <f t="shared" si="22"/>
        <v>0</v>
      </c>
      <c r="E88" s="138">
        <f>SUMIFS('Plan rashoda za unos u SAP'!$J$3:$J$525,'Plan rashoda za unos u SAP'!$C$3:$C$525,"=11",'Plan rashoda za unos u SAP'!$N$3:$N$525,"=54")+SUMIFS('ANALITIKA EU PROJEKATA'!$H$3:$H$586,'ANALITIKA EU PROJEKATA'!$A$3:$A$586,"=11",'ANALITIKA EU PROJEKATA'!$L$3:$L$586,"=54")</f>
        <v>0</v>
      </c>
      <c r="F88" s="138">
        <f>SUMIFS('Plan rashoda za unos u SAP'!$J$3:$J$525,'Plan rashoda za unos u SAP'!$C$3:$C$525,"=12",'Plan rashoda za unos u SAP'!$N$3:$N$525,"=54")+SUMIFS('ANALITIKA EU PROJEKATA'!$H$3:$H$586,'ANALITIKA EU PROJEKATA'!$A$3:$A$586,"=12",'ANALITIKA EU PROJEKATA'!$L$3:$L$586,"=54")</f>
        <v>0</v>
      </c>
      <c r="G88" s="138">
        <f>SUMIFS('Plan rashoda za unos u SAP'!$J$3:$J$525,'Plan rashoda za unos u SAP'!$C$3:$C$525,"=31",'Plan rashoda za unos u SAP'!$N$3:$N$525,"=54")+SUMIFS('ANALITIKA EU PROJEKATA'!$H$3:$H$586,'ANALITIKA EU PROJEKATA'!$A$3:$A$586,"=31",'ANALITIKA EU PROJEKATA'!$L$3:$L$586,"=54")</f>
        <v>0</v>
      </c>
      <c r="H88" s="138">
        <f>SUMIFS('Plan rashoda za unos u SAP'!$J$3:$J$525,'Plan rashoda za unos u SAP'!$C$3:$C$525,"=41",'Plan rashoda za unos u SAP'!$N$3:$N$525,"=54")+SUMIFS('ANALITIKA EU PROJEKATA'!$H$3:$H$586,'ANALITIKA EU PROJEKATA'!$A$3:$A$586,"=41",'ANALITIKA EU PROJEKATA'!$L$3:$L$586,"=54")</f>
        <v>0</v>
      </c>
      <c r="I88" s="138">
        <f>SUMIFS('Plan rashoda za unos u SAP'!$J$3:$J$525,'Plan rashoda za unos u SAP'!$C$3:$C$525,"=43",'Plan rashoda za unos u SAP'!$N$3:$N$525,"=54")+SUMIFS('ANALITIKA EU PROJEKATA'!$H$3:$H$586,'ANALITIKA EU PROJEKATA'!$A$3:$A$586,"=43",'ANALITIKA EU PROJEKATA'!$L$3:$L$586,"=54")</f>
        <v>0</v>
      </c>
      <c r="J88" s="138">
        <f>SUMIFS('Plan rashoda za unos u SAP'!$J$3:$J$525,'Plan rashoda za unos u SAP'!$C$3:$C$525,"=51",'Plan rashoda za unos u SAP'!$N$3:$N$525,"=54")+SUMIFS('ANALITIKA EU PROJEKATA'!$H$3:$H$586,'ANALITIKA EU PROJEKATA'!$A$3:$A$586,"=51",'ANALITIKA EU PROJEKATA'!$L$3:$L$586,"=54")</f>
        <v>0</v>
      </c>
      <c r="K88" s="138">
        <f>SUMIFS('Plan rashoda za unos u SAP'!$J$3:$J$525,'Plan rashoda za unos u SAP'!$C$3:$C$525,"=52",'Plan rashoda za unos u SAP'!$N$3:$N$525,"=54")+SUMIFS('ANALITIKA EU PROJEKATA'!$H$3:$H$586,'ANALITIKA EU PROJEKATA'!$A$3:$A$586,"=52",'ANALITIKA EU PROJEKATA'!$L$3:$L$586,"=54")</f>
        <v>0</v>
      </c>
      <c r="L88" s="138">
        <f>SUMIFS('Plan rashoda za unos u SAP'!$J$3:$J$525,'Plan rashoda za unos u SAP'!$C$3:$C$525,"=552",'Plan rashoda za unos u SAP'!$N$3:$N$525,"=54")+SUMIFS('ANALITIKA EU PROJEKATA'!$H$3:$H$586,'ANALITIKA EU PROJEKATA'!$A$3:$A$586,"=552",'ANALITIKA EU PROJEKATA'!$L$3:$L$586,"=54")</f>
        <v>0</v>
      </c>
      <c r="M88" s="138">
        <f>SUMIFS('Plan rashoda za unos u SAP'!$J$3:$J$525,'Plan rashoda za unos u SAP'!$C$3:$C$525,"=559",'Plan rashoda za unos u SAP'!$N$3:$N$525,"=54")+SUMIFS('ANALITIKA EU PROJEKATA'!$H$3:$H$586,'ANALITIKA EU PROJEKATA'!$A$3:$A$586,"=559",'ANALITIKA EU PROJEKATA'!$L$3:$L$586,"=54")</f>
        <v>0</v>
      </c>
      <c r="N88" s="138">
        <f>SUMIFS('Plan rashoda za unos u SAP'!$J$3:$J$525,'Plan rashoda za unos u SAP'!$C$3:$C$525,"=561",'Plan rashoda za unos u SAP'!$N$3:$N$525,"=54")+SUMIFS('ANALITIKA EU PROJEKATA'!$H$3:$H$586,'ANALITIKA EU PROJEKATA'!$A$3:$A$586,"=561",'ANALITIKA EU PROJEKATA'!$L$3:$L$586,"=54")</f>
        <v>0</v>
      </c>
      <c r="O88" s="138">
        <f>SUMIFS('Plan rashoda za unos u SAP'!$J$3:$J$525,'Plan rashoda za unos u SAP'!$C$3:$C$525,"=563",'Plan rashoda za unos u SAP'!$N$3:$N$525,"=54")+SUMIFS('ANALITIKA EU PROJEKATA'!$H$3:$H$586,'ANALITIKA EU PROJEKATA'!$A$3:$A$586,"=563",'ANALITIKA EU PROJEKATA'!$L$3:$L$586,"=54")</f>
        <v>0</v>
      </c>
      <c r="P88" s="138">
        <f>SUMIFS('Plan rashoda za unos u SAP'!$J$3:$J$525,'Plan rashoda za unos u SAP'!$C$3:$C$525,"=573",'Plan rashoda za unos u SAP'!$N$3:$N$525,"=54")+SUMIFS('ANALITIKA EU PROJEKATA'!$H$3:$H$586,'ANALITIKA EU PROJEKATA'!$A$3:$A$586,"=573",'ANALITIKA EU PROJEKATA'!$L$3:$L$586,"=54")</f>
        <v>0</v>
      </c>
      <c r="Q88" s="138">
        <f>SUMIFS('Plan rashoda za unos u SAP'!$J$3:$J$525,'Plan rashoda za unos u SAP'!$C$3:$C$525,"=575",'Plan rashoda za unos u SAP'!$N$3:$N$525,"=54")+SUMIFS('ANALITIKA EU PROJEKATA'!$H$3:$H$586,'ANALITIKA EU PROJEKATA'!$A$3:$A$586,"=575",'ANALITIKA EU PROJEKATA'!$L$3:$L$586,"=54")</f>
        <v>0</v>
      </c>
      <c r="R88" s="138">
        <f>SUMIFS('Plan rashoda za unos u SAP'!$J$3:$J$525,'Plan rashoda za unos u SAP'!$C$3:$C$525,"=576",'Plan rashoda za unos u SAP'!$N$3:$N$525,"=54")+SUMIFS('ANALITIKA EU PROJEKATA'!$H$3:$H$586,'ANALITIKA EU PROJEKATA'!$A$3:$A$586,"=576",'ANALITIKA EU PROJEKATA'!$L$3:$L$586,"=54")</f>
        <v>0</v>
      </c>
      <c r="S88" s="138">
        <f>SUMIFS('Plan rashoda za unos u SAP'!$J$3:$J$525,'Plan rashoda za unos u SAP'!$C$3:$C$525,"=581",'Plan rashoda za unos u SAP'!$N$3:$N$525,"=54")+SUMIFS('ANALITIKA EU PROJEKATA'!$H$3:$H$586,'ANALITIKA EU PROJEKATA'!$A$3:$A$586,"=581",'ANALITIKA EU PROJEKATA'!$L$3:$L$586,"=54")</f>
        <v>0</v>
      </c>
      <c r="T88" s="138">
        <f>SUMIFS('Plan rashoda za unos u SAP'!$J$3:$J$525,'Plan rashoda za unos u SAP'!$C$3:$C$525,"=61",'Plan rashoda za unos u SAP'!$N$3:$N$525,"=54")+SUMIFS('ANALITIKA EU PROJEKATA'!$H$3:$H$586,'ANALITIKA EU PROJEKATA'!$A$3:$A$586,"=61",'ANALITIKA EU PROJEKATA'!$L$3:$L$586,"=54")</f>
        <v>0</v>
      </c>
      <c r="U88" s="138">
        <f>SUMIFS('Plan rashoda za unos u SAP'!$J$3:$J$525,'Plan rashoda za unos u SAP'!$C$3:$C$525,"=63",'Plan rashoda za unos u SAP'!$N$3:$N$525,"=54")+SUMIFS('ANALITIKA EU PROJEKATA'!$H$3:$H$586,'ANALITIKA EU PROJEKATA'!$A$3:$A$586,"=63",'ANALITIKA EU PROJEKATA'!$L$3:$L$586,"=54")</f>
        <v>0</v>
      </c>
      <c r="V88" s="138">
        <f>SUMIFS('Plan rashoda za unos u SAP'!$J$3:$J$525,'Plan rashoda za unos u SAP'!$C$3:$C$525,"=71",'Plan rashoda za unos u SAP'!$N$3:$N$525,"=54")+SUMIFS('ANALITIKA EU PROJEKATA'!$H$3:$H$586,'ANALITIKA EU PROJEKATA'!$A$3:$A$586,"=71",'ANALITIKA EU PROJEKATA'!$L$3:$L$586,"=54")</f>
        <v>0</v>
      </c>
      <c r="W88" s="138">
        <f>SUMIFS('Plan rashoda za unos u SAP'!$J$3:$J$525,'Plan rashoda za unos u SAP'!$C$3:$C$525,"=81",'Plan rashoda za unos u SAP'!$N$3:$N$525,"=54")+SUMIFS('ANALITIKA EU PROJEKATA'!$H$3:$H$586,'ANALITIKA EU PROJEKATA'!$A$3:$A$586,"=81",'ANALITIKA EU PROJEKATA'!$L$3:$L$586,"=54")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1906</v>
      </c>
      <c r="B90" s="93" t="s">
        <v>199</v>
      </c>
      <c r="C90" s="93" t="s">
        <v>200</v>
      </c>
      <c r="D90" s="2" t="s">
        <v>3487</v>
      </c>
      <c r="E90" s="2" t="s">
        <v>40</v>
      </c>
      <c r="F90" s="2" t="s">
        <v>317</v>
      </c>
      <c r="G90" s="93" t="s">
        <v>19</v>
      </c>
      <c r="H90" s="93" t="s">
        <v>1367</v>
      </c>
      <c r="I90" s="93" t="s">
        <v>20</v>
      </c>
      <c r="J90" s="93" t="s">
        <v>266</v>
      </c>
      <c r="K90" s="93" t="s">
        <v>267</v>
      </c>
      <c r="L90" s="93" t="s">
        <v>1368</v>
      </c>
      <c r="M90" s="93" t="s">
        <v>268</v>
      </c>
      <c r="N90" s="93" t="s">
        <v>269</v>
      </c>
      <c r="O90" s="93" t="s">
        <v>270</v>
      </c>
      <c r="P90" s="93" t="s">
        <v>1369</v>
      </c>
      <c r="Q90" s="93" t="s">
        <v>1370</v>
      </c>
      <c r="R90" s="93" t="s">
        <v>1902</v>
      </c>
      <c r="S90" s="93" t="s">
        <v>3479</v>
      </c>
      <c r="T90" s="93" t="s">
        <v>271</v>
      </c>
      <c r="U90" s="93" t="s">
        <v>272</v>
      </c>
      <c r="V90" s="93" t="s">
        <v>1344</v>
      </c>
      <c r="W90" s="93" t="s">
        <v>1343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342</v>
      </c>
      <c r="D91" s="120">
        <f t="shared" ref="D91:D108" si="27">SUM(E91:W91)</f>
        <v>33640243.656101115</v>
      </c>
      <c r="E91" s="121">
        <f t="shared" ref="E91:W91" si="28">E92+E100+E106</f>
        <v>7567779.8544248566</v>
      </c>
      <c r="F91" s="121">
        <f t="shared" si="28"/>
        <v>117558.03</v>
      </c>
      <c r="G91" s="121">
        <f t="shared" si="28"/>
        <v>1245027</v>
      </c>
      <c r="H91" s="121">
        <f>H92+H100+H106</f>
        <v>0</v>
      </c>
      <c r="I91" s="121">
        <f t="shared" si="28"/>
        <v>4803920.0300000012</v>
      </c>
      <c r="J91" s="121">
        <f t="shared" si="28"/>
        <v>477514.34757325618</v>
      </c>
      <c r="K91" s="121">
        <f t="shared" si="28"/>
        <v>18683837.254103001</v>
      </c>
      <c r="L91" s="121">
        <f>L92+L100+L106</f>
        <v>0</v>
      </c>
      <c r="M91" s="121">
        <f t="shared" si="28"/>
        <v>0</v>
      </c>
      <c r="N91" s="121">
        <f t="shared" si="28"/>
        <v>180234.35</v>
      </c>
      <c r="O91" s="121">
        <f t="shared" si="28"/>
        <v>-196000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760372.78999999992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15974175.755168509</v>
      </c>
      <c r="E92" s="130">
        <f t="shared" ref="E92:G92" si="29">SUM(E93:E99)</f>
        <v>8062874.2744248565</v>
      </c>
      <c r="F92" s="130">
        <f t="shared" si="29"/>
        <v>115542.91</v>
      </c>
      <c r="G92" s="130">
        <f t="shared" si="29"/>
        <v>243073</v>
      </c>
      <c r="H92" s="130">
        <f>SUM(H93:H99)</f>
        <v>0</v>
      </c>
      <c r="I92" s="130">
        <f t="shared" ref="I92:K92" si="30">SUM(I93:I99)</f>
        <v>4980510.0300000012</v>
      </c>
      <c r="J92" s="130">
        <f t="shared" si="30"/>
        <v>381717.18836978939</v>
      </c>
      <c r="K92" s="130">
        <f t="shared" si="30"/>
        <v>1705276.7923738612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168815.35</v>
      </c>
      <c r="O92" s="130">
        <f t="shared" si="31"/>
        <v>-196000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512366.2099999999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9900151.1127160024</v>
      </c>
      <c r="E93" s="138">
        <f>SUMIFS('Plan rashoda za unos u SAP'!$K$3:$K$525,'Plan rashoda za unos u SAP'!$C$3:$C$525,"=11",'Plan rashoda za unos u SAP'!$N$3:$N$525,"=31")+SUMIFS('ANALITIKA EU PROJEKATA'!$I$3:$I$586,'ANALITIKA EU PROJEKATA'!$A$3:$A$586,"=11",'ANALITIKA EU PROJEKATA'!$L$3:$L$586,"=31")</f>
        <v>5985919</v>
      </c>
      <c r="F93" s="138">
        <f>SUMIFS('Plan rashoda za unos u SAP'!$K$3:$K$525,'Plan rashoda za unos u SAP'!$C$3:$C$525,"=12",'Plan rashoda za unos u SAP'!$N$3:$N$525,"=31")+SUMIFS('ANALITIKA EU PROJEKATA'!$I$3:$I$586,'ANALITIKA EU PROJEKATA'!$A$3:$A$586,"=12",'ANALITIKA EU PROJEKATA'!$L$3:$L$586,"=31")</f>
        <v>-21622.35</v>
      </c>
      <c r="G93" s="138">
        <f>SUMIFS('Plan rashoda za unos u SAP'!$K$3:$K$525,'Plan rashoda za unos u SAP'!$C$3:$C$525,"=31",'Plan rashoda za unos u SAP'!$N$3:$N$525,"=31")+SUMIFS('ANALITIKA EU PROJEKATA'!$I$3:$I$586,'ANALITIKA EU PROJEKATA'!$A$3:$A$586,"=31",'ANALITIKA EU PROJEKATA'!$L$3:$L$586,"=31")</f>
        <v>3222</v>
      </c>
      <c r="H93" s="138">
        <f>SUMIFS('Plan rashoda za unos u SAP'!$K$3:$K$525,'Plan rashoda za unos u SAP'!$C$3:$C$525,"=41",'Plan rashoda za unos u SAP'!$N$3:$N$525,"=31")+SUMIFS('ANALITIKA EU PROJEKATA'!$I$3:$I$586,'ANALITIKA EU PROJEKATA'!$A$3:$A$586,"=41",'ANALITIKA EU PROJEKATA'!$L$3:$L$586,"=31")</f>
        <v>0</v>
      </c>
      <c r="I93" s="138">
        <f>SUMIFS('Plan rashoda za unos u SAP'!$K$3:$K$525,'Plan rashoda za unos u SAP'!$C$3:$C$525,"=43",'Plan rashoda za unos u SAP'!$N$3:$N$525,"=31")+SUMIFS('ANALITIKA EU PROJEKATA'!$I$3:$I$586,'ANALITIKA EU PROJEKATA'!$A$3:$A$586,"=43",'ANALITIKA EU PROJEKATA'!$L$3:$L$586,"=31")</f>
        <v>2334509.52</v>
      </c>
      <c r="J93" s="138">
        <f>SUMIFS('Plan rashoda za unos u SAP'!$K$3:$K$525,'Plan rashoda za unos u SAP'!$C$3:$C$525,"=51",'Plan rashoda za unos u SAP'!$N$3:$N$525,"=31")+SUMIFS('ANALITIKA EU PROJEKATA'!$I$3:$I$586,'ANALITIKA EU PROJEKATA'!$A$3:$A$586,"=51",'ANALITIKA EU PROJEKATA'!$L$3:$L$586,"=31")</f>
        <v>740788.32078369299</v>
      </c>
      <c r="K93" s="138">
        <f>SUMIFS('Plan rashoda za unos u SAP'!$K$3:$K$525,'Plan rashoda za unos u SAP'!$C$3:$C$525,"=52",'Plan rashoda za unos u SAP'!$N$3:$N$525,"=31")+SUMIFS('ANALITIKA EU PROJEKATA'!$I$3:$I$586,'ANALITIKA EU PROJEKATA'!$A$3:$A$586,"=52",'ANALITIKA EU PROJEKATA'!$L$3:$L$586,"=31")</f>
        <v>619059.20193230943</v>
      </c>
      <c r="L93" s="138">
        <f>SUMIFS('Plan rashoda za unos u SAP'!$K$3:$K$525,'Plan rashoda za unos u SAP'!$C$3:$C$525,"=552",'Plan rashoda za unos u SAP'!$N$3:$N$525,"=31")+SUMIFS('ANALITIKA EU PROJEKATA'!$I$3:$I$586,'ANALITIKA EU PROJEKATA'!$A$3:$A$586,"=552",'ANALITIKA EU PROJEKATA'!$L$3:$L$586,"=31")</f>
        <v>0</v>
      </c>
      <c r="M93" s="138">
        <f>SUMIFS('Plan rashoda za unos u SAP'!$K$3:$K$525,'Plan rashoda za unos u SAP'!$C$3:$C$525,"=559",'Plan rashoda za unos u SAP'!$N$3:$N$525,"=31")+SUMIFS('ANALITIKA EU PROJEKATA'!$I$3:$I$586,'ANALITIKA EU PROJEKATA'!$A$3:$A$586,"=559",'ANALITIKA EU PROJEKATA'!$L$3:$L$586,"=31")</f>
        <v>0</v>
      </c>
      <c r="N93" s="138">
        <f>SUMIFS('Plan rashoda za unos u SAP'!$K$3:$K$525,'Plan rashoda za unos u SAP'!$C$3:$C$525,"=561",'Plan rashoda za unos u SAP'!$N$3:$N$525,"=31")+SUMIFS('ANALITIKA EU PROJEKATA'!$I$3:$I$586,'ANALITIKA EU PROJEKATA'!$A$3:$A$586,"=561",'ANALITIKA EU PROJEKATA'!$L$3:$L$586,"=31")</f>
        <v>-122526.65</v>
      </c>
      <c r="O93" s="138">
        <f>SUMIFS('Plan rashoda za unos u SAP'!$K$3:$K$525,'Plan rashoda za unos u SAP'!$C$3:$C$525,"=563",'Plan rashoda za unos u SAP'!$N$3:$N$525,"=31")+SUMIFS('ANALITIKA EU PROJEKATA'!$I$3:$I$586,'ANALITIKA EU PROJEKATA'!$A$3:$A$586,"=563",'ANALITIKA EU PROJEKATA'!$L$3:$L$586,"=31")</f>
        <v>0</v>
      </c>
      <c r="P93" s="138">
        <f>SUMIFS('Plan rashoda za unos u SAP'!$K$3:$K$525,'Plan rashoda za unos u SAP'!$C$3:$C$525,"=573",'Plan rashoda za unos u SAP'!$N$3:$N$525,"=31")+SUMIFS('ANALITIKA EU PROJEKATA'!$I$3:$I$586,'ANALITIKA EU PROJEKATA'!$A$3:$A$586,"=573",'ANALITIKA EU PROJEKATA'!$L$3:$L$586,"=31")</f>
        <v>0</v>
      </c>
      <c r="Q93" s="138">
        <f>SUMIFS('Plan rashoda za unos u SAP'!$K$3:$K$525,'Plan rashoda za unos u SAP'!$C$3:$C$525,"=575",'Plan rashoda za unos u SAP'!$N$3:$N$525,"=31")+SUMIFS('ANALITIKA EU PROJEKATA'!$I$3:$I$586,'ANALITIKA EU PROJEKATA'!$A$3:$A$586,"=575",'ANALITIKA EU PROJEKATA'!$L$3:$L$586,"=31")</f>
        <v>0</v>
      </c>
      <c r="R93" s="138">
        <f>SUMIFS('Plan rashoda za unos u SAP'!$K$3:$K$525,'Plan rashoda za unos u SAP'!$C$3:$C$525,"=576",'Plan rashoda za unos u SAP'!$N$3:$N$525,"=31")+SUMIFS('ANALITIKA EU PROJEKATA'!$I$3:$I$586,'ANALITIKA EU PROJEKATA'!$A$3:$A$586,"=576",'ANALITIKA EU PROJEKATA'!$L$3:$L$586,"=31")</f>
        <v>0</v>
      </c>
      <c r="S93" s="138">
        <f>SUMIFS('Plan rashoda za unos u SAP'!$K$3:$K$525,'Plan rashoda za unos u SAP'!$C$3:$C$525,"=581",'Plan rashoda za unos u SAP'!$N$3:$N$525,"=31")+SUMIFS('ANALITIKA EU PROJEKATA'!$I$3:$I$586,'ANALITIKA EU PROJEKATA'!$A$3:$A$586,"=581",'ANALITIKA EU PROJEKATA'!$L$3:$L$586,"=31")</f>
        <v>0</v>
      </c>
      <c r="T93" s="138">
        <f>SUMIFS('Plan rashoda za unos u SAP'!$K$3:$K$525,'Plan rashoda za unos u SAP'!$C$3:$C$525,"=61",'Plan rashoda za unos u SAP'!$N$3:$N$525,"=31")+SUMIFS('ANALITIKA EU PROJEKATA'!$I$3:$I$586,'ANALITIKA EU PROJEKATA'!$A$3:$A$586,"=61",'ANALITIKA EU PROJEKATA'!$L$3:$L$586,"=31")</f>
        <v>360802.06999999995</v>
      </c>
      <c r="U93" s="138">
        <f>SUMIFS('Plan rashoda za unos u SAP'!$K$3:$K$525,'Plan rashoda za unos u SAP'!$C$3:$C$525,"=63",'Plan rashoda za unos u SAP'!$N$3:$N$525,"=31")+SUMIFS('ANALITIKA EU PROJEKATA'!$I$3:$I$586,'ANALITIKA EU PROJEKATA'!$A$3:$A$586,"=63",'ANALITIKA EU PROJEKATA'!$L$3:$L$586,"=31")</f>
        <v>0</v>
      </c>
      <c r="V93" s="138">
        <f>SUMIFS('Plan rashoda za unos u SAP'!$K$3:$K$525,'Plan rashoda za unos u SAP'!$C$3:$C$525,"=71",'Plan rashoda za unos u SAP'!$N$3:$N$525,"=31")+SUMIFS('ANALITIKA EU PROJEKATA'!$I$3:$I$586,'ANALITIKA EU PROJEKATA'!$A$3:$A$586,"=71",'ANALITIKA EU PROJEKATA'!$L$3:$L$586,"=31")</f>
        <v>0</v>
      </c>
      <c r="W93" s="138">
        <f>SUMIFS('Plan rashoda za unos u SAP'!$K$3:$K$525,'Plan rashoda za unos u SAP'!$C$3:$C$525,"=81",'Plan rashoda za unos u SAP'!$N$3:$N$525,"=31")+SUMIFS('ANALITIKA EU PROJEKATA'!$I$3:$I$586,'ANALITIKA EU PROJEKATA'!$A$3:$A$586,"=81",'ANALITIKA EU PROJEKATA'!$L$3:$L$586,"=31")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4774334.4323106837</v>
      </c>
      <c r="E94" s="138">
        <f>SUMIFS('Plan rashoda za unos u SAP'!$K$3:$K$525,'Plan rashoda za unos u SAP'!$C$3:$C$525,"=11",'Plan rashoda za unos u SAP'!$N$3:$N$525,"=32")+SUMIFS('ANALITIKA EU PROJEKATA'!$I$3:$I$586,'ANALITIKA EU PROJEKATA'!$A$3:$A$586,"=11",'ANALITIKA EU PROJEKATA'!$L$3:$L$586,"=32")</f>
        <v>2033400.9544248565</v>
      </c>
      <c r="F94" s="138">
        <f>SUMIFS('Plan rashoda za unos u SAP'!$K$3:$K$525,'Plan rashoda za unos u SAP'!$C$3:$C$525,"=12",'Plan rashoda za unos u SAP'!$N$3:$N$525,"=32")+SUMIFS('ANALITIKA EU PROJEKATA'!$I$3:$I$586,'ANALITIKA EU PROJEKATA'!$A$3:$A$586,"=12",'ANALITIKA EU PROJEKATA'!$L$3:$L$586,"=32")</f>
        <v>85690.55</v>
      </c>
      <c r="G94" s="138">
        <f>SUMIFS('Plan rashoda za unos u SAP'!$K$3:$K$525,'Plan rashoda za unos u SAP'!$C$3:$C$525,"=31",'Plan rashoda za unos u SAP'!$N$3:$N$525,"=32")+SUMIFS('ANALITIKA EU PROJEKATA'!$I$3:$I$586,'ANALITIKA EU PROJEKATA'!$A$3:$A$586,"=31",'ANALITIKA EU PROJEKATA'!$L$3:$L$586,"=32")</f>
        <v>119296</v>
      </c>
      <c r="H94" s="138">
        <f>SUMIFS('Plan rashoda za unos u SAP'!$K$3:$K$525,'Plan rashoda za unos u SAP'!$C$3:$C$525,"=41",'Plan rashoda za unos u SAP'!$N$3:$N$525,"=32")+SUMIFS('ANALITIKA EU PROJEKATA'!$I$3:$I$586,'ANALITIKA EU PROJEKATA'!$A$3:$A$586,"=41",'ANALITIKA EU PROJEKATA'!$L$3:$L$586,"=32")</f>
        <v>0</v>
      </c>
      <c r="I94" s="138">
        <f>SUMIFS('Plan rashoda za unos u SAP'!$K$3:$K$525,'Plan rashoda za unos u SAP'!$C$3:$C$525,"=43",'Plan rashoda za unos u SAP'!$N$3:$N$525,"=32")+SUMIFS('ANALITIKA EU PROJEKATA'!$I$3:$I$586,'ANALITIKA EU PROJEKATA'!$A$3:$A$586,"=43",'ANALITIKA EU PROJEKATA'!$L$3:$L$586,"=32")</f>
        <v>2645918.5100000007</v>
      </c>
      <c r="J94" s="138">
        <f>SUMIFS('Plan rashoda za unos u SAP'!$K$3:$K$525,'Plan rashoda za unos u SAP'!$C$3:$C$525,"=51",'Plan rashoda za unos u SAP'!$N$3:$N$525,"=32")+SUMIFS('ANALITIKA EU PROJEKATA'!$I$3:$I$586,'ANALITIKA EU PROJEKATA'!$A$3:$A$586,"=51",'ANALITIKA EU PROJEKATA'!$L$3:$L$586,"=32")</f>
        <v>-359098.8824139036</v>
      </c>
      <c r="K94" s="138">
        <f>SUMIFS('Plan rashoda za unos u SAP'!$K$3:$K$525,'Plan rashoda za unos u SAP'!$C$3:$C$525,"=52",'Plan rashoda za unos u SAP'!$N$3:$N$525,"=32")+SUMIFS('ANALITIKA EU PROJEKATA'!$I$3:$I$586,'ANALITIKA EU PROJEKATA'!$A$3:$A$586,"=52",'ANALITIKA EU PROJEKATA'!$L$3:$L$586,"=32")</f>
        <v>294585.84029972984</v>
      </c>
      <c r="L94" s="138">
        <f>SUMIFS('Plan rashoda za unos u SAP'!$K$3:$K$525,'Plan rashoda za unos u SAP'!$C$3:$C$525,"=552",'Plan rashoda za unos u SAP'!$N$3:$N$525,"=32")+SUMIFS('ANALITIKA EU PROJEKATA'!$I$3:$I$586,'ANALITIKA EU PROJEKATA'!$A$3:$A$586,"=552",'ANALITIKA EU PROJEKATA'!$L$3:$L$586,"=32")</f>
        <v>0</v>
      </c>
      <c r="M94" s="138">
        <f>SUMIFS('Plan rashoda za unos u SAP'!$K$3:$K$525,'Plan rashoda za unos u SAP'!$C$3:$C$525,"=559",'Plan rashoda za unos u SAP'!$N$3:$N$525,"=32")+SUMIFS('ANALITIKA EU PROJEKATA'!$I$3:$I$586,'ANALITIKA EU PROJEKATA'!$A$3:$A$586,"=559",'ANALITIKA EU PROJEKATA'!$L$3:$L$586,"=32")</f>
        <v>0</v>
      </c>
      <c r="N94" s="138">
        <f>SUMIFS('Plan rashoda za unos u SAP'!$K$3:$K$525,'Plan rashoda za unos u SAP'!$C$3:$C$525,"=561",'Plan rashoda za unos u SAP'!$N$3:$N$525,"=32")+SUMIFS('ANALITIKA EU PROJEKATA'!$I$3:$I$586,'ANALITIKA EU PROJEKATA'!$A$3:$A$586,"=561",'ANALITIKA EU PROJEKATA'!$L$3:$L$586,"=32")</f>
        <v>0</v>
      </c>
      <c r="O94" s="138">
        <f>SUMIFS('Plan rashoda za unos u SAP'!$K$3:$K$525,'Plan rashoda za unos u SAP'!$C$3:$C$525,"=563",'Plan rashoda za unos u SAP'!$N$3:$N$525,"=32")+SUMIFS('ANALITIKA EU PROJEKATA'!$I$3:$I$586,'ANALITIKA EU PROJEKATA'!$A$3:$A$586,"=563",'ANALITIKA EU PROJEKATA'!$L$3:$L$586,"=32")</f>
        <v>-196000</v>
      </c>
      <c r="P94" s="138">
        <f>SUMIFS('Plan rashoda za unos u SAP'!$K$3:$K$525,'Plan rashoda za unos u SAP'!$C$3:$C$525,"=573",'Plan rashoda za unos u SAP'!$N$3:$N$525,"=32")+SUMIFS('ANALITIKA EU PROJEKATA'!$I$3:$I$586,'ANALITIKA EU PROJEKATA'!$A$3:$A$586,"=573",'ANALITIKA EU PROJEKATA'!$L$3:$L$586,"=32")</f>
        <v>0</v>
      </c>
      <c r="Q94" s="138">
        <f>SUMIFS('Plan rashoda za unos u SAP'!$K$3:$K$525,'Plan rashoda za unos u SAP'!$C$3:$C$525,"=575",'Plan rashoda za unos u SAP'!$N$3:$N$525,"=32")+SUMIFS('ANALITIKA EU PROJEKATA'!$I$3:$I$586,'ANALITIKA EU PROJEKATA'!$A$3:$A$586,"=575",'ANALITIKA EU PROJEKATA'!$L$3:$L$586,"=32")</f>
        <v>0</v>
      </c>
      <c r="R94" s="138">
        <f>SUMIFS('Plan rashoda za unos u SAP'!$K$3:$K$525,'Plan rashoda za unos u SAP'!$C$3:$C$525,"=576",'Plan rashoda za unos u SAP'!$N$3:$N$525,"=32")+SUMIFS('ANALITIKA EU PROJEKATA'!$I$3:$I$586,'ANALITIKA EU PROJEKATA'!$A$3:$A$586,"=576",'ANALITIKA EU PROJEKATA'!$L$3:$L$586,"=32")</f>
        <v>0</v>
      </c>
      <c r="S94" s="138">
        <f>SUMIFS('Plan rashoda za unos u SAP'!$K$3:$K$525,'Plan rashoda za unos u SAP'!$C$3:$C$525,"=581",'Plan rashoda za unos u SAP'!$N$3:$N$525,"=32")+SUMIFS('ANALITIKA EU PROJEKATA'!$I$3:$I$586,'ANALITIKA EU PROJEKATA'!$A$3:$A$586,"=581",'ANALITIKA EU PROJEKATA'!$L$3:$L$586,"=32")</f>
        <v>0</v>
      </c>
      <c r="T94" s="138">
        <f>SUMIFS('Plan rashoda za unos u SAP'!$K$3:$K$525,'Plan rashoda za unos u SAP'!$C$3:$C$525,"=61",'Plan rashoda za unos u SAP'!$N$3:$N$525,"=32")+SUMIFS('ANALITIKA EU PROJEKATA'!$I$3:$I$586,'ANALITIKA EU PROJEKATA'!$A$3:$A$586,"=61",'ANALITIKA EU PROJEKATA'!$L$3:$L$586,"=32")</f>
        <v>150541.46</v>
      </c>
      <c r="U94" s="138">
        <f>SUMIFS('Plan rashoda za unos u SAP'!$K$3:$K$525,'Plan rashoda za unos u SAP'!$C$3:$C$525,"=63",'Plan rashoda za unos u SAP'!$N$3:$N$525,"=32")+SUMIFS('ANALITIKA EU PROJEKATA'!$I$3:$I$586,'ANALITIKA EU PROJEKATA'!$A$3:$A$586,"=63",'ANALITIKA EU PROJEKATA'!$L$3:$L$586,"=32")</f>
        <v>0</v>
      </c>
      <c r="V94" s="138">
        <f>SUMIFS('Plan rashoda za unos u SAP'!$K$3:$K$525,'Plan rashoda za unos u SAP'!$C$3:$C$525,"=71",'Plan rashoda za unos u SAP'!$N$3:$N$525,"=32")+SUMIFS('ANALITIKA EU PROJEKATA'!$I$3:$I$586,'ANALITIKA EU PROJEKATA'!$A$3:$A$586,"=71",'ANALITIKA EU PROJEKATA'!$L$3:$L$586,"=32")</f>
        <v>0</v>
      </c>
      <c r="W94" s="138">
        <f>SUMIFS('Plan rashoda za unos u SAP'!$K$3:$K$525,'Plan rashoda za unos u SAP'!$C$3:$C$525,"=81",'Plan rashoda za unos u SAP'!$N$3:$N$525,"=32")+SUMIFS('ANALITIKA EU PROJEKATA'!$I$3:$I$586,'ANALITIKA EU PROJEKATA'!$A$3:$A$586,"=81",'ANALITIKA EU PROJEKATA'!$L$3:$L$586,"=32")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-77017.140000000014</v>
      </c>
      <c r="E95" s="138">
        <f>SUMIFS('Plan rashoda za unos u SAP'!$K$3:$K$525,'Plan rashoda za unos u SAP'!$C$3:$C$525,"=11",'Plan rashoda za unos u SAP'!$N$3:$N$525,"=34")+SUMIFS('ANALITIKA EU PROJEKATA'!$I$3:$I$586,'ANALITIKA EU PROJEKATA'!$A$3:$A$586,"=11",'ANALITIKA EU PROJEKATA'!$L$3:$L$586,"=34")</f>
        <v>-78445.680000000008</v>
      </c>
      <c r="F95" s="138">
        <f>SUMIFS('Plan rashoda za unos u SAP'!$K$3:$K$525,'Plan rashoda za unos u SAP'!$C$3:$C$525,"=12",'Plan rashoda za unos u SAP'!$N$3:$N$525,"=34")+SUMIFS('ANALITIKA EU PROJEKATA'!$I$3:$I$586,'ANALITIKA EU PROJEKATA'!$A$3:$A$586,"=12",'ANALITIKA EU PROJEKATA'!$L$3:$L$586,"=34")</f>
        <v>61.11</v>
      </c>
      <c r="G95" s="138">
        <f>SUMIFS('Plan rashoda za unos u SAP'!$K$3:$K$525,'Plan rashoda za unos u SAP'!$C$3:$C$525,"=31",'Plan rashoda za unos u SAP'!$N$3:$N$525,"=34")+SUMIFS('ANALITIKA EU PROJEKATA'!$I$3:$I$586,'ANALITIKA EU PROJEKATA'!$A$3:$A$586,"=31",'ANALITIKA EU PROJEKATA'!$L$3:$L$586,"=34")</f>
        <v>155</v>
      </c>
      <c r="H95" s="138">
        <f>SUMIFS('Plan rashoda za unos u SAP'!$K$3:$K$525,'Plan rashoda za unos u SAP'!$C$3:$C$525,"=41",'Plan rashoda za unos u SAP'!$N$3:$N$525,"=34")+SUMIFS('ANALITIKA EU PROJEKATA'!$I$3:$I$586,'ANALITIKA EU PROJEKATA'!$A$3:$A$586,"=41",'ANALITIKA EU PROJEKATA'!$L$3:$L$586,"=34")</f>
        <v>0</v>
      </c>
      <c r="I95" s="138">
        <f>SUMIFS('Plan rashoda za unos u SAP'!$K$3:$K$525,'Plan rashoda za unos u SAP'!$C$3:$C$525,"=43",'Plan rashoda za unos u SAP'!$N$3:$N$525,"=34")+SUMIFS('ANALITIKA EU PROJEKATA'!$I$3:$I$586,'ANALITIKA EU PROJEKATA'!$A$3:$A$586,"=43",'ANALITIKA EU PROJEKATA'!$L$3:$L$586,"=34")</f>
        <v>82</v>
      </c>
      <c r="J95" s="138">
        <f>SUMIFS('Plan rashoda za unos u SAP'!$K$3:$K$525,'Plan rashoda za unos u SAP'!$C$3:$C$525,"=51",'Plan rashoda za unos u SAP'!$N$3:$N$525,"=34")+SUMIFS('ANALITIKA EU PROJEKATA'!$I$3:$I$586,'ANALITIKA EU PROJEKATA'!$A$3:$A$586,"=51",'ANALITIKA EU PROJEKATA'!$L$3:$L$586,"=34")</f>
        <v>27.75</v>
      </c>
      <c r="K95" s="138">
        <f>SUMIFS('Plan rashoda za unos u SAP'!$K$3:$K$525,'Plan rashoda za unos u SAP'!$C$3:$C$525,"=52",'Plan rashoda za unos u SAP'!$N$3:$N$525,"=34")+SUMIFS('ANALITIKA EU PROJEKATA'!$I$3:$I$586,'ANALITIKA EU PROJEKATA'!$A$3:$A$586,"=52",'ANALITIKA EU PROJEKATA'!$L$3:$L$586,"=34")</f>
        <v>80</v>
      </c>
      <c r="L95" s="138">
        <f>SUMIFS('Plan rashoda za unos u SAP'!$K$3:$K$525,'Plan rashoda za unos u SAP'!$C$3:$C$525,"=552",'Plan rashoda za unos u SAP'!$N$3:$N$525,"=34")+SUMIFS('ANALITIKA EU PROJEKATA'!$I$3:$I$586,'ANALITIKA EU PROJEKATA'!$A$3:$A$586,"=552",'ANALITIKA EU PROJEKATA'!$L$3:$L$586,"=34")</f>
        <v>0</v>
      </c>
      <c r="M95" s="138">
        <f>SUMIFS('Plan rashoda za unos u SAP'!$K$3:$K$525,'Plan rashoda za unos u SAP'!$C$3:$C$525,"=559",'Plan rashoda za unos u SAP'!$N$3:$N$525,"=34")+SUMIFS('ANALITIKA EU PROJEKATA'!$I$3:$I$586,'ANALITIKA EU PROJEKATA'!$A$3:$A$586,"=559",'ANALITIKA EU PROJEKATA'!$L$3:$L$586,"=34")</f>
        <v>0</v>
      </c>
      <c r="N95" s="138">
        <f>SUMIFS('Plan rashoda za unos u SAP'!$K$3:$K$525,'Plan rashoda za unos u SAP'!$C$3:$C$525,"=561",'Plan rashoda za unos u SAP'!$N$3:$N$525,"=34")+SUMIFS('ANALITIKA EU PROJEKATA'!$I$3:$I$586,'ANALITIKA EU PROJEKATA'!$A$3:$A$586,"=561",'ANALITIKA EU PROJEKATA'!$L$3:$L$586,"=34")</f>
        <v>0</v>
      </c>
      <c r="O95" s="138">
        <f>SUMIFS('Plan rashoda za unos u SAP'!$K$3:$K$525,'Plan rashoda za unos u SAP'!$C$3:$C$525,"=563",'Plan rashoda za unos u SAP'!$N$3:$N$525,"=34")+SUMIFS('ANALITIKA EU PROJEKATA'!$I$3:$I$586,'ANALITIKA EU PROJEKATA'!$A$3:$A$586,"=563",'ANALITIKA EU PROJEKATA'!$L$3:$L$586,"=34")</f>
        <v>0</v>
      </c>
      <c r="P95" s="138">
        <f>SUMIFS('Plan rashoda za unos u SAP'!$K$3:$K$525,'Plan rashoda za unos u SAP'!$C$3:$C$525,"=573",'Plan rashoda za unos u SAP'!$N$3:$N$525,"=34")+SUMIFS('ANALITIKA EU PROJEKATA'!$I$3:$I$586,'ANALITIKA EU PROJEKATA'!$A$3:$A$586,"=573",'ANALITIKA EU PROJEKATA'!$L$3:$L$586,"=34")</f>
        <v>0</v>
      </c>
      <c r="Q95" s="138">
        <f>SUMIFS('Plan rashoda za unos u SAP'!$K$3:$K$525,'Plan rashoda za unos u SAP'!$C$3:$C$525,"=575",'Plan rashoda za unos u SAP'!$N$3:$N$525,"=34")+SUMIFS('ANALITIKA EU PROJEKATA'!$I$3:$I$586,'ANALITIKA EU PROJEKATA'!$A$3:$A$586,"=575",'ANALITIKA EU PROJEKATA'!$L$3:$L$586,"=34")</f>
        <v>0</v>
      </c>
      <c r="R95" s="138">
        <f>SUMIFS('Plan rashoda za unos u SAP'!$K$3:$K$525,'Plan rashoda za unos u SAP'!$C$3:$C$525,"=576",'Plan rashoda za unos u SAP'!$N$3:$N$525,"=34")+SUMIFS('ANALITIKA EU PROJEKATA'!$I$3:$I$586,'ANALITIKA EU PROJEKATA'!$A$3:$A$586,"=576",'ANALITIKA EU PROJEKATA'!$L$3:$L$586,"=34")</f>
        <v>0</v>
      </c>
      <c r="S95" s="138">
        <f>SUMIFS('Plan rashoda za unos u SAP'!$K$3:$K$525,'Plan rashoda za unos u SAP'!$C$3:$C$525,"=581",'Plan rashoda za unos u SAP'!$N$3:$N$525,"=34")+SUMIFS('ANALITIKA EU PROJEKATA'!$I$3:$I$586,'ANALITIKA EU PROJEKATA'!$A$3:$A$586,"=581",'ANALITIKA EU PROJEKATA'!$L$3:$L$586,"=34")</f>
        <v>0</v>
      </c>
      <c r="T95" s="138">
        <f>SUMIFS('Plan rashoda za unos u SAP'!$K$3:$K$525,'Plan rashoda za unos u SAP'!$C$3:$C$525,"=61",'Plan rashoda za unos u SAP'!$N$3:$N$525,"=34")+SUMIFS('ANALITIKA EU PROJEKATA'!$I$3:$I$586,'ANALITIKA EU PROJEKATA'!$A$3:$A$586,"=61",'ANALITIKA EU PROJEKATA'!$L$3:$L$586,"=34")</f>
        <v>1022.68</v>
      </c>
      <c r="U95" s="138">
        <f>SUMIFS('Plan rashoda za unos u SAP'!$K$3:$K$525,'Plan rashoda za unos u SAP'!$C$3:$C$525,"=63",'Plan rashoda za unos u SAP'!$N$3:$N$525,"=34")+SUMIFS('ANALITIKA EU PROJEKATA'!$I$3:$I$586,'ANALITIKA EU PROJEKATA'!$A$3:$A$586,"=63",'ANALITIKA EU PROJEKATA'!$L$3:$L$586,"=34")</f>
        <v>0</v>
      </c>
      <c r="V95" s="138">
        <f>SUMIFS('Plan rashoda za unos u SAP'!$K$3:$K$525,'Plan rashoda za unos u SAP'!$C$3:$C$525,"=71",'Plan rashoda za unos u SAP'!$N$3:$N$525,"=34")+SUMIFS('ANALITIKA EU PROJEKATA'!$I$3:$I$586,'ANALITIKA EU PROJEKATA'!$A$3:$A$586,"=71",'ANALITIKA EU PROJEKATA'!$L$3:$L$586,"=34")</f>
        <v>0</v>
      </c>
      <c r="W95" s="138">
        <f>SUMIFS('Plan rashoda za unos u SAP'!$K$3:$K$525,'Plan rashoda za unos u SAP'!$C$3:$C$525,"=81",'Plan rashoda za unos u SAP'!$N$3:$N$525,"=34")+SUMIFS('ANALITIKA EU PROJEKATA'!$I$3:$I$586,'ANALITIKA EU PROJEKATA'!$A$3:$A$586,"=81",'ANALITIKA EU PROJEKATA'!$L$3:$L$586,"=34")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320</v>
      </c>
      <c r="D96" s="133">
        <f t="shared" si="27"/>
        <v>79106.259999999995</v>
      </c>
      <c r="E96" s="138">
        <f>SUMIFS('Plan rashoda za unos u SAP'!$K$3:$K$525,'Plan rashoda za unos u SAP'!$C$3:$C$525,"=11",'Plan rashoda za unos u SAP'!$N$3:$N$525,"=35")+SUMIFS('ANALITIKA EU PROJEKATA'!$I$3:$I$586,'ANALITIKA EU PROJEKATA'!$A$3:$A$586,"=11",'ANALITIKA EU PROJEKATA'!$L$3:$L$586,"=35")</f>
        <v>0</v>
      </c>
      <c r="F96" s="138">
        <f>SUMIFS('Plan rashoda za unos u SAP'!$K$3:$K$525,'Plan rashoda za unos u SAP'!$C$3:$C$525,"=12",'Plan rashoda za unos u SAP'!$N$3:$N$525,"=35")+SUMIFS('ANALITIKA EU PROJEKATA'!$I$3:$I$586,'ANALITIKA EU PROJEKATA'!$A$3:$A$586,"=12",'ANALITIKA EU PROJEKATA'!$L$3:$L$586,"=35")</f>
        <v>0</v>
      </c>
      <c r="G96" s="138">
        <f>SUMIFS('Plan rashoda za unos u SAP'!$K$3:$K$525,'Plan rashoda za unos u SAP'!$C$3:$C$525,"=31",'Plan rashoda za unos u SAP'!$N$3:$N$525,"=35")+SUMIFS('ANALITIKA EU PROJEKATA'!$I$3:$I$586,'ANALITIKA EU PROJEKATA'!$A$3:$A$586,"=31",'ANALITIKA EU PROJEKATA'!$L$3:$L$586,"=35")</f>
        <v>0</v>
      </c>
      <c r="H96" s="138">
        <f>SUMIFS('Plan rashoda za unos u SAP'!$K$3:$K$525,'Plan rashoda za unos u SAP'!$C$3:$C$525,"=41",'Plan rashoda za unos u SAP'!$N$3:$N$525,"=35")+SUMIFS('ANALITIKA EU PROJEKATA'!$I$3:$I$586,'ANALITIKA EU PROJEKATA'!$A$3:$A$586,"=41",'ANALITIKA EU PROJEKATA'!$L$3:$L$586,"=35")</f>
        <v>0</v>
      </c>
      <c r="I96" s="138">
        <f>SUMIFS('Plan rashoda za unos u SAP'!$K$3:$K$525,'Plan rashoda za unos u SAP'!$C$3:$C$525,"=43",'Plan rashoda za unos u SAP'!$N$3:$N$525,"=35")+SUMIFS('ANALITIKA EU PROJEKATA'!$I$3:$I$586,'ANALITIKA EU PROJEKATA'!$A$3:$A$586,"=43",'ANALITIKA EU PROJEKATA'!$L$3:$L$586,"=35")</f>
        <v>0</v>
      </c>
      <c r="J96" s="138">
        <f>SUMIFS('Plan rashoda za unos u SAP'!$K$3:$K$525,'Plan rashoda za unos u SAP'!$C$3:$C$525,"=51",'Plan rashoda za unos u SAP'!$N$3:$N$525,"=35")+SUMIFS('ANALITIKA EU PROJEKATA'!$I$3:$I$586,'ANALITIKA EU PROJEKATA'!$A$3:$A$586,"=51",'ANALITIKA EU PROJEKATA'!$L$3:$L$586,"=35")</f>
        <v>0</v>
      </c>
      <c r="K96" s="138">
        <f>SUMIFS('Plan rashoda za unos u SAP'!$K$3:$K$525,'Plan rashoda za unos u SAP'!$C$3:$C$525,"=52",'Plan rashoda za unos u SAP'!$N$3:$N$525,"=35")+SUMIFS('ANALITIKA EU PROJEKATA'!$I$3:$I$586,'ANALITIKA EU PROJEKATA'!$A$3:$A$586,"=52",'ANALITIKA EU PROJEKATA'!$L$3:$L$586,"=35")</f>
        <v>79106.259999999995</v>
      </c>
      <c r="L96" s="138">
        <f>SUMIFS('Plan rashoda za unos u SAP'!$K$3:$K$525,'Plan rashoda za unos u SAP'!$C$3:$C$525,"=552",'Plan rashoda za unos u SAP'!$N$3:$N$525,"=35")+SUMIFS('ANALITIKA EU PROJEKATA'!$I$3:$I$586,'ANALITIKA EU PROJEKATA'!$A$3:$A$586,"=552",'ANALITIKA EU PROJEKATA'!$L$3:$L$586,"=35")</f>
        <v>0</v>
      </c>
      <c r="M96" s="138">
        <f>SUMIFS('Plan rashoda za unos u SAP'!$K$3:$K$525,'Plan rashoda za unos u SAP'!$C$3:$C$525,"=559",'Plan rashoda za unos u SAP'!$N$3:$N$525,"=35")+SUMIFS('ANALITIKA EU PROJEKATA'!$I$3:$I$586,'ANALITIKA EU PROJEKATA'!$A$3:$A$586,"=559",'ANALITIKA EU PROJEKATA'!$L$3:$L$586,"=35")</f>
        <v>0</v>
      </c>
      <c r="N96" s="138">
        <f>SUMIFS('Plan rashoda za unos u SAP'!$K$3:$K$525,'Plan rashoda za unos u SAP'!$C$3:$C$525,"=561",'Plan rashoda za unos u SAP'!$N$3:$N$525,"=35")+SUMIFS('ANALITIKA EU PROJEKATA'!$I$3:$I$586,'ANALITIKA EU PROJEKATA'!$A$3:$A$586,"=561",'ANALITIKA EU PROJEKATA'!$L$3:$L$586,"=35")</f>
        <v>0</v>
      </c>
      <c r="O96" s="138">
        <f>SUMIFS('Plan rashoda za unos u SAP'!$K$3:$K$525,'Plan rashoda za unos u SAP'!$C$3:$C$525,"=563",'Plan rashoda za unos u SAP'!$N$3:$N$525,"=35")+SUMIFS('ANALITIKA EU PROJEKATA'!$I$3:$I$586,'ANALITIKA EU PROJEKATA'!$A$3:$A$586,"=563",'ANALITIKA EU PROJEKATA'!$L$3:$L$586,"=35")</f>
        <v>0</v>
      </c>
      <c r="P96" s="138">
        <f>SUMIFS('Plan rashoda za unos u SAP'!$K$3:$K$525,'Plan rashoda za unos u SAP'!$C$3:$C$525,"=573",'Plan rashoda za unos u SAP'!$N$3:$N$525,"=35")+SUMIFS('ANALITIKA EU PROJEKATA'!$I$3:$I$586,'ANALITIKA EU PROJEKATA'!$A$3:$A$586,"=573",'ANALITIKA EU PROJEKATA'!$L$3:$L$586,"=35")</f>
        <v>0</v>
      </c>
      <c r="Q96" s="138">
        <f>SUMIFS('Plan rashoda za unos u SAP'!$K$3:$K$525,'Plan rashoda za unos u SAP'!$C$3:$C$525,"=575",'Plan rashoda za unos u SAP'!$N$3:$N$525,"=35")+SUMIFS('ANALITIKA EU PROJEKATA'!$I$3:$I$586,'ANALITIKA EU PROJEKATA'!$A$3:$A$586,"=575",'ANALITIKA EU PROJEKATA'!$L$3:$L$586,"=35")</f>
        <v>0</v>
      </c>
      <c r="R96" s="138">
        <f>SUMIFS('Plan rashoda za unos u SAP'!$K$3:$K$525,'Plan rashoda za unos u SAP'!$C$3:$C$525,"=576",'Plan rashoda za unos u SAP'!$N$3:$N$525,"=35")+SUMIFS('ANALITIKA EU PROJEKATA'!$I$3:$I$586,'ANALITIKA EU PROJEKATA'!$A$3:$A$586,"=576",'ANALITIKA EU PROJEKATA'!$L$3:$L$586,"=35")</f>
        <v>0</v>
      </c>
      <c r="S96" s="138">
        <f>SUMIFS('Plan rashoda za unos u SAP'!$K$3:$K$525,'Plan rashoda za unos u SAP'!$C$3:$C$525,"=581",'Plan rashoda za unos u SAP'!$N$3:$N$525,"=35")+SUMIFS('ANALITIKA EU PROJEKATA'!$I$3:$I$586,'ANALITIKA EU PROJEKATA'!$A$3:$A$586,"=581",'ANALITIKA EU PROJEKATA'!$L$3:$L$586,"=35")</f>
        <v>0</v>
      </c>
      <c r="T96" s="138">
        <f>SUMIFS('Plan rashoda za unos u SAP'!$K$3:$K$525,'Plan rashoda za unos u SAP'!$C$3:$C$525,"=61",'Plan rashoda za unos u SAP'!$N$3:$N$525,"=35")+SUMIFS('ANALITIKA EU PROJEKATA'!$I$3:$I$586,'ANALITIKA EU PROJEKATA'!$A$3:$A$586,"=61",'ANALITIKA EU PROJEKATA'!$L$3:$L$586,"=35")</f>
        <v>0</v>
      </c>
      <c r="U96" s="138">
        <f>SUMIFS('Plan rashoda za unos u SAP'!$K$3:$K$525,'Plan rashoda za unos u SAP'!$C$3:$C$525,"=63",'Plan rashoda za unos u SAP'!$N$3:$N$525,"=35")+SUMIFS('ANALITIKA EU PROJEKATA'!$I$3:$I$586,'ANALITIKA EU PROJEKATA'!$A$3:$A$586,"=63",'ANALITIKA EU PROJEKATA'!$L$3:$L$586,"=35")</f>
        <v>0</v>
      </c>
      <c r="V96" s="138">
        <f>SUMIFS('Plan rashoda za unos u SAP'!$K$3:$K$525,'Plan rashoda za unos u SAP'!$C$3:$C$525,"=71",'Plan rashoda za unos u SAP'!$N$3:$N$525,"=35")+SUMIFS('ANALITIKA EU PROJEKATA'!$I$3:$I$586,'ANALITIKA EU PROJEKATA'!$A$3:$A$586,"=71",'ANALITIKA EU PROJEKATA'!$L$3:$L$586,"=35")</f>
        <v>0</v>
      </c>
      <c r="W96" s="138">
        <f>SUMIFS('Plan rashoda za unos u SAP'!$K$3:$K$525,'Plan rashoda za unos u SAP'!$C$3:$C$525,"=81",'Plan rashoda za unos u SAP'!$N$3:$N$525,"=35")+SUMIFS('ANALITIKA EU PROJEKATA'!$I$3:$I$586,'ANALITIKA EU PROJEKATA'!$A$3:$A$586,"=81",'ANALITIKA EU PROJEKATA'!$L$3:$L$586,"=35")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342755.6</v>
      </c>
      <c r="E97" s="138">
        <f>SUMIFS('Plan rashoda za unos u SAP'!$K$3:$K$525,'Plan rashoda za unos u SAP'!$C$3:$C$525,"=11",'Plan rashoda za unos u SAP'!$N$3:$N$525,"=36")+SUMIFS('ANALITIKA EU PROJEKATA'!$I$3:$I$586,'ANALITIKA EU PROJEKATA'!$A$3:$A$586,"=11",'ANALITIKA EU PROJEKATA'!$L$3:$L$586,"=36")</f>
        <v>0</v>
      </c>
      <c r="F97" s="138">
        <f>SUMIFS('Plan rashoda za unos u SAP'!$K$3:$K$525,'Plan rashoda za unos u SAP'!$C$3:$C$525,"=12",'Plan rashoda za unos u SAP'!$N$3:$N$525,"=36")+SUMIFS('ANALITIKA EU PROJEKATA'!$I$3:$I$586,'ANALITIKA EU PROJEKATA'!$A$3:$A$586,"=12",'ANALITIKA EU PROJEKATA'!$L$3:$L$586,"=36")</f>
        <v>51413.600000000006</v>
      </c>
      <c r="G97" s="138">
        <f>SUMIFS('Plan rashoda za unos u SAP'!$K$3:$K$525,'Plan rashoda za unos u SAP'!$C$3:$C$525,"=31",'Plan rashoda za unos u SAP'!$N$3:$N$525,"=36")+SUMIFS('ANALITIKA EU PROJEKATA'!$I$3:$I$586,'ANALITIKA EU PROJEKATA'!$A$3:$A$586,"=31",'ANALITIKA EU PROJEKATA'!$L$3:$L$586,"=36")</f>
        <v>0</v>
      </c>
      <c r="H97" s="138">
        <f>SUMIFS('Plan rashoda za unos u SAP'!$K$3:$K$525,'Plan rashoda za unos u SAP'!$C$3:$C$525,"=41",'Plan rashoda za unos u SAP'!$N$3:$N$525,"=36")+SUMIFS('ANALITIKA EU PROJEKATA'!$I$3:$I$586,'ANALITIKA EU PROJEKATA'!$A$3:$A$586,"=41",'ANALITIKA EU PROJEKATA'!$L$3:$L$586,"=36")</f>
        <v>0</v>
      </c>
      <c r="I97" s="138">
        <f>SUMIFS('Plan rashoda za unos u SAP'!$K$3:$K$525,'Plan rashoda za unos u SAP'!$C$3:$C$525,"=43",'Plan rashoda za unos u SAP'!$N$3:$N$525,"=36")+SUMIFS('ANALITIKA EU PROJEKATA'!$I$3:$I$586,'ANALITIKA EU PROJEKATA'!$A$3:$A$586,"=43",'ANALITIKA EU PROJEKATA'!$L$3:$L$586,"=36")</f>
        <v>0</v>
      </c>
      <c r="J97" s="138">
        <f>SUMIFS('Plan rashoda za unos u SAP'!$K$3:$K$525,'Plan rashoda za unos u SAP'!$C$3:$C$525,"=51",'Plan rashoda za unos u SAP'!$N$3:$N$525,"=36")+SUMIFS('ANALITIKA EU PROJEKATA'!$I$3:$I$586,'ANALITIKA EU PROJEKATA'!$A$3:$A$586,"=51",'ANALITIKA EU PROJEKATA'!$L$3:$L$586,"=36")</f>
        <v>0</v>
      </c>
      <c r="K97" s="138">
        <f>SUMIFS('Plan rashoda za unos u SAP'!$K$3:$K$525,'Plan rashoda za unos u SAP'!$C$3:$C$525,"=52",'Plan rashoda za unos u SAP'!$N$3:$N$525,"=36")+SUMIFS('ANALITIKA EU PROJEKATA'!$I$3:$I$586,'ANALITIKA EU PROJEKATA'!$A$3:$A$586,"=52",'ANALITIKA EU PROJEKATA'!$L$3:$L$586,"=36")</f>
        <v>0</v>
      </c>
      <c r="L97" s="138">
        <f>SUMIFS('Plan rashoda za unos u SAP'!$K$3:$K$525,'Plan rashoda za unos u SAP'!$C$3:$C$525,"=552",'Plan rashoda za unos u SAP'!$N$3:$N$525,"=36")+SUMIFS('ANALITIKA EU PROJEKATA'!$I$3:$I$586,'ANALITIKA EU PROJEKATA'!$A$3:$A$586,"=552",'ANALITIKA EU PROJEKATA'!$L$3:$L$586,"=36")</f>
        <v>0</v>
      </c>
      <c r="M97" s="138">
        <f>SUMIFS('Plan rashoda za unos u SAP'!$K$3:$K$525,'Plan rashoda za unos u SAP'!$C$3:$C$525,"=559",'Plan rashoda za unos u SAP'!$N$3:$N$525,"=36")+SUMIFS('ANALITIKA EU PROJEKATA'!$I$3:$I$586,'ANALITIKA EU PROJEKATA'!$A$3:$A$586,"=559",'ANALITIKA EU PROJEKATA'!$L$3:$L$586,"=36")</f>
        <v>0</v>
      </c>
      <c r="N97" s="138">
        <f>SUMIFS('Plan rashoda za unos u SAP'!$K$3:$K$525,'Plan rashoda za unos u SAP'!$C$3:$C$525,"=561",'Plan rashoda za unos u SAP'!$N$3:$N$525,"=36")+SUMIFS('ANALITIKA EU PROJEKATA'!$I$3:$I$586,'ANALITIKA EU PROJEKATA'!$A$3:$A$586,"=561",'ANALITIKA EU PROJEKATA'!$L$3:$L$586,"=36")</f>
        <v>291342</v>
      </c>
      <c r="O97" s="138">
        <f>SUMIFS('Plan rashoda za unos u SAP'!$K$3:$K$525,'Plan rashoda za unos u SAP'!$C$3:$C$525,"=563",'Plan rashoda za unos u SAP'!$N$3:$N$525,"=36")+SUMIFS('ANALITIKA EU PROJEKATA'!$I$3:$I$586,'ANALITIKA EU PROJEKATA'!$A$3:$A$586,"=563",'ANALITIKA EU PROJEKATA'!$L$3:$L$586,"=36")</f>
        <v>0</v>
      </c>
      <c r="P97" s="138">
        <f>SUMIFS('Plan rashoda za unos u SAP'!$K$3:$K$525,'Plan rashoda za unos u SAP'!$C$3:$C$525,"=573",'Plan rashoda za unos u SAP'!$N$3:$N$525,"=36")+SUMIFS('ANALITIKA EU PROJEKATA'!$I$3:$I$586,'ANALITIKA EU PROJEKATA'!$A$3:$A$586,"=573",'ANALITIKA EU PROJEKATA'!$L$3:$L$586,"=36")</f>
        <v>0</v>
      </c>
      <c r="Q97" s="138">
        <f>SUMIFS('Plan rashoda za unos u SAP'!$K$3:$K$525,'Plan rashoda za unos u SAP'!$C$3:$C$525,"=575",'Plan rashoda za unos u SAP'!$N$3:$N$525,"=36")+SUMIFS('ANALITIKA EU PROJEKATA'!$I$3:$I$586,'ANALITIKA EU PROJEKATA'!$A$3:$A$586,"=575",'ANALITIKA EU PROJEKATA'!$L$3:$L$586,"=36")</f>
        <v>0</v>
      </c>
      <c r="R97" s="138">
        <f>SUMIFS('Plan rashoda za unos u SAP'!$K$3:$K$525,'Plan rashoda za unos u SAP'!$C$3:$C$525,"=576",'Plan rashoda za unos u SAP'!$N$3:$N$525,"=36")+SUMIFS('ANALITIKA EU PROJEKATA'!$I$3:$I$586,'ANALITIKA EU PROJEKATA'!$A$3:$A$586,"=576",'ANALITIKA EU PROJEKATA'!$L$3:$L$586,"=36")</f>
        <v>0</v>
      </c>
      <c r="S97" s="138">
        <f>SUMIFS('Plan rashoda za unos u SAP'!$K$3:$K$525,'Plan rashoda za unos u SAP'!$C$3:$C$525,"=581",'Plan rashoda za unos u SAP'!$N$3:$N$525,"=36")+SUMIFS('ANALITIKA EU PROJEKATA'!$I$3:$I$586,'ANALITIKA EU PROJEKATA'!$A$3:$A$586,"=581",'ANALITIKA EU PROJEKATA'!$L$3:$L$586,"=36")</f>
        <v>0</v>
      </c>
      <c r="T97" s="138">
        <f>SUMIFS('Plan rashoda za unos u SAP'!$K$3:$K$525,'Plan rashoda za unos u SAP'!$C$3:$C$525,"=61",'Plan rashoda za unos u SAP'!$N$3:$N$525,"=36")+SUMIFS('ANALITIKA EU PROJEKATA'!$I$3:$I$586,'ANALITIKA EU PROJEKATA'!$A$3:$A$586,"=61",'ANALITIKA EU PROJEKATA'!$L$3:$L$586,"=36")</f>
        <v>0</v>
      </c>
      <c r="U97" s="138">
        <f>SUMIFS('Plan rashoda za unos u SAP'!$K$3:$K$525,'Plan rashoda za unos u SAP'!$C$3:$C$525,"=63",'Plan rashoda za unos u SAP'!$N$3:$N$525,"=36")+SUMIFS('ANALITIKA EU PROJEKATA'!$I$3:$I$586,'ANALITIKA EU PROJEKATA'!$A$3:$A$586,"=63",'ANALITIKA EU PROJEKATA'!$L$3:$L$586,"=36")</f>
        <v>0</v>
      </c>
      <c r="V97" s="138">
        <f>SUMIFS('Plan rashoda za unos u SAP'!$K$3:$K$525,'Plan rashoda za unos u SAP'!$C$3:$C$525,"=71",'Plan rashoda za unos u SAP'!$N$3:$N$525,"=36")+SUMIFS('ANALITIKA EU PROJEKATA'!$I$3:$I$586,'ANALITIKA EU PROJEKATA'!$A$3:$A$586,"=71",'ANALITIKA EU PROJEKATA'!$L$3:$L$586,"=36")</f>
        <v>0</v>
      </c>
      <c r="W97" s="138">
        <f>SUMIFS('Plan rashoda za unos u SAP'!$K$3:$K$525,'Plan rashoda za unos u SAP'!$C$3:$C$525,"=81",'Plan rashoda za unos u SAP'!$N$3:$N$525,"=36")+SUMIFS('ANALITIKA EU PROJEKATA'!$I$3:$I$586,'ANALITIKA EU PROJEKATA'!$A$3:$A$586,"=81",'ANALITIKA EU PROJEKATA'!$L$3:$L$586,"=36")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327</v>
      </c>
      <c r="D98" s="133">
        <f t="shared" si="27"/>
        <v>732245.22471784102</v>
      </c>
      <c r="E98" s="138">
        <f>SUMIFS('Plan rashoda za unos u SAP'!$K$3:$K$525,'Plan rashoda za unos u SAP'!$C$3:$C$525,"=11",'Plan rashoda za unos u SAP'!$N$3:$N$525,"=37")+SUMIFS('ANALITIKA EU PROJEKATA'!$I$3:$I$586,'ANALITIKA EU PROJEKATA'!$A$3:$A$586,"=11",'ANALITIKA EU PROJEKATA'!$L$3:$L$586,"=37")</f>
        <v>-78000</v>
      </c>
      <c r="F98" s="138">
        <f>SUMIFS('Plan rashoda za unos u SAP'!$K$3:$K$525,'Plan rashoda za unos u SAP'!$C$3:$C$525,"=12",'Plan rashoda za unos u SAP'!$N$3:$N$525,"=37")+SUMIFS('ANALITIKA EU PROJEKATA'!$I$3:$I$586,'ANALITIKA EU PROJEKATA'!$A$3:$A$586,"=12",'ANALITIKA EU PROJEKATA'!$L$3:$L$586,"=37")</f>
        <v>0</v>
      </c>
      <c r="G98" s="138">
        <f>SUMIFS('Plan rashoda za unos u SAP'!$K$3:$K$525,'Plan rashoda za unos u SAP'!$C$3:$C$525,"=31",'Plan rashoda za unos u SAP'!$N$3:$N$525,"=37")+SUMIFS('ANALITIKA EU PROJEKATA'!$I$3:$I$586,'ANALITIKA EU PROJEKATA'!$A$3:$A$586,"=31",'ANALITIKA EU PROJEKATA'!$L$3:$L$586,"=37")</f>
        <v>120400</v>
      </c>
      <c r="H98" s="138">
        <f>SUMIFS('Plan rashoda za unos u SAP'!$K$3:$K$525,'Plan rashoda za unos u SAP'!$C$3:$C$525,"=41",'Plan rashoda za unos u SAP'!$N$3:$N$525,"=37")+SUMIFS('ANALITIKA EU PROJEKATA'!$I$3:$I$586,'ANALITIKA EU PROJEKATA'!$A$3:$A$586,"=41",'ANALITIKA EU PROJEKATA'!$L$3:$L$586,"=37")</f>
        <v>0</v>
      </c>
      <c r="I98" s="138">
        <f>SUMIFS('Plan rashoda za unos u SAP'!$K$3:$K$525,'Plan rashoda za unos u SAP'!$C$3:$C$525,"=43",'Plan rashoda za unos u SAP'!$N$3:$N$525,"=37")+SUMIFS('ANALITIKA EU PROJEKATA'!$I$3:$I$586,'ANALITIKA EU PROJEKATA'!$A$3:$A$586,"=43",'ANALITIKA EU PROJEKATA'!$L$3:$L$586,"=37")</f>
        <v>0</v>
      </c>
      <c r="J98" s="138">
        <f>SUMIFS('Plan rashoda za unos u SAP'!$K$3:$K$525,'Plan rashoda za unos u SAP'!$C$3:$C$525,"=51",'Plan rashoda za unos u SAP'!$N$3:$N$525,"=37")+SUMIFS('ANALITIKA EU PROJEKATA'!$I$3:$I$586,'ANALITIKA EU PROJEKATA'!$A$3:$A$586,"=51",'ANALITIKA EU PROJEKATA'!$L$3:$L$586,"=37")</f>
        <v>0</v>
      </c>
      <c r="K98" s="138">
        <f>SUMIFS('Plan rashoda za unos u SAP'!$K$3:$K$525,'Plan rashoda za unos u SAP'!$C$3:$C$525,"=52",'Plan rashoda za unos u SAP'!$N$3:$N$525,"=37")+SUMIFS('ANALITIKA EU PROJEKATA'!$I$3:$I$586,'ANALITIKA EU PROJEKATA'!$A$3:$A$586,"=52",'ANALITIKA EU PROJEKATA'!$L$3:$L$586,"=37")</f>
        <v>689845.22471784102</v>
      </c>
      <c r="L98" s="138">
        <f>SUMIFS('Plan rashoda za unos u SAP'!$K$3:$K$525,'Plan rashoda za unos u SAP'!$C$3:$C$525,"=552",'Plan rashoda za unos u SAP'!$N$3:$N$525,"=37")+SUMIFS('ANALITIKA EU PROJEKATA'!$I$3:$I$586,'ANALITIKA EU PROJEKATA'!$A$3:$A$586,"=552",'ANALITIKA EU PROJEKATA'!$L$3:$L$586,"=37")</f>
        <v>0</v>
      </c>
      <c r="M98" s="138">
        <f>SUMIFS('Plan rashoda za unos u SAP'!$K$3:$K$525,'Plan rashoda za unos u SAP'!$C$3:$C$525,"=559",'Plan rashoda za unos u SAP'!$N$3:$N$525,"=37")+SUMIFS('ANALITIKA EU PROJEKATA'!$I$3:$I$586,'ANALITIKA EU PROJEKATA'!$A$3:$A$586,"=559",'ANALITIKA EU PROJEKATA'!$L$3:$L$586,"=37")</f>
        <v>0</v>
      </c>
      <c r="N98" s="138">
        <f>SUMIFS('Plan rashoda za unos u SAP'!$K$3:$K$525,'Plan rashoda za unos u SAP'!$C$3:$C$525,"=561",'Plan rashoda za unos u SAP'!$N$3:$N$525,"=37")+SUMIFS('ANALITIKA EU PROJEKATA'!$I$3:$I$586,'ANALITIKA EU PROJEKATA'!$A$3:$A$586,"=561",'ANALITIKA EU PROJEKATA'!$L$3:$L$586,"=37")</f>
        <v>0</v>
      </c>
      <c r="O98" s="138">
        <f>SUMIFS('Plan rashoda za unos u SAP'!$K$3:$K$525,'Plan rashoda za unos u SAP'!$C$3:$C$525,"=563",'Plan rashoda za unos u SAP'!$N$3:$N$525,"=37")+SUMIFS('ANALITIKA EU PROJEKATA'!$I$3:$I$586,'ANALITIKA EU PROJEKATA'!$A$3:$A$586,"=563",'ANALITIKA EU PROJEKATA'!$L$3:$L$586,"=37")</f>
        <v>0</v>
      </c>
      <c r="P98" s="138">
        <f>SUMIFS('Plan rashoda za unos u SAP'!$K$3:$K$525,'Plan rashoda za unos u SAP'!$C$3:$C$525,"=573",'Plan rashoda za unos u SAP'!$N$3:$N$525,"=37")+SUMIFS('ANALITIKA EU PROJEKATA'!$I$3:$I$586,'ANALITIKA EU PROJEKATA'!$A$3:$A$586,"=573",'ANALITIKA EU PROJEKATA'!$L$3:$L$586,"=37")</f>
        <v>0</v>
      </c>
      <c r="Q98" s="138">
        <f>SUMIFS('Plan rashoda za unos u SAP'!$K$3:$K$525,'Plan rashoda za unos u SAP'!$C$3:$C$525,"=575",'Plan rashoda za unos u SAP'!$N$3:$N$525,"=37")+SUMIFS('ANALITIKA EU PROJEKATA'!$I$3:$I$586,'ANALITIKA EU PROJEKATA'!$A$3:$A$586,"=575",'ANALITIKA EU PROJEKATA'!$L$3:$L$586,"=37")</f>
        <v>0</v>
      </c>
      <c r="R98" s="138">
        <f>SUMIFS('Plan rashoda za unos u SAP'!$K$3:$K$525,'Plan rashoda za unos u SAP'!$C$3:$C$525,"=576",'Plan rashoda za unos u SAP'!$N$3:$N$525,"=37")+SUMIFS('ANALITIKA EU PROJEKATA'!$I$3:$I$586,'ANALITIKA EU PROJEKATA'!$A$3:$A$586,"=576",'ANALITIKA EU PROJEKATA'!$L$3:$L$586,"=37")</f>
        <v>0</v>
      </c>
      <c r="S98" s="138">
        <f>SUMIFS('Plan rashoda za unos u SAP'!$K$3:$K$525,'Plan rashoda za unos u SAP'!$C$3:$C$525,"=581",'Plan rashoda za unos u SAP'!$N$3:$N$525,"=37")+SUMIFS('ANALITIKA EU PROJEKATA'!$I$3:$I$586,'ANALITIKA EU PROJEKATA'!$A$3:$A$586,"=581",'ANALITIKA EU PROJEKATA'!$L$3:$L$586,"=37")</f>
        <v>0</v>
      </c>
      <c r="T98" s="138">
        <f>SUMIFS('Plan rashoda za unos u SAP'!$K$3:$K$525,'Plan rashoda za unos u SAP'!$C$3:$C$525,"=61",'Plan rashoda za unos u SAP'!$N$3:$N$525,"=37")+SUMIFS('ANALITIKA EU PROJEKATA'!$I$3:$I$586,'ANALITIKA EU PROJEKATA'!$A$3:$A$586,"=61",'ANALITIKA EU PROJEKATA'!$L$3:$L$586,"=37")</f>
        <v>0</v>
      </c>
      <c r="U98" s="138">
        <f>SUMIFS('Plan rashoda za unos u SAP'!$K$3:$K$525,'Plan rashoda za unos u SAP'!$C$3:$C$525,"=63",'Plan rashoda za unos u SAP'!$N$3:$N$525,"=37")+SUMIFS('ANALITIKA EU PROJEKATA'!$I$3:$I$586,'ANALITIKA EU PROJEKATA'!$A$3:$A$586,"=63",'ANALITIKA EU PROJEKATA'!$L$3:$L$586,"=37")</f>
        <v>0</v>
      </c>
      <c r="V98" s="138">
        <f>SUMIFS('Plan rashoda za unos u SAP'!$K$3:$K$525,'Plan rashoda za unos u SAP'!$C$3:$C$525,"=71",'Plan rashoda za unos u SAP'!$N$3:$N$525,"=37")+SUMIFS('ANALITIKA EU PROJEKATA'!$I$3:$I$586,'ANALITIKA EU PROJEKATA'!$A$3:$A$586,"=71",'ANALITIKA EU PROJEKATA'!$L$3:$L$586,"=37")</f>
        <v>0</v>
      </c>
      <c r="W98" s="138">
        <f>SUMIFS('Plan rashoda za unos u SAP'!$K$3:$K$525,'Plan rashoda za unos u SAP'!$C$3:$C$525,"=81",'Plan rashoda za unos u SAP'!$N$3:$N$525,"=37")+SUMIFS('ANALITIKA EU PROJEKATA'!$I$3:$I$586,'ANALITIKA EU PROJEKATA'!$A$3:$A$586,"=81",'ANALITIKA EU PROJEKATA'!$L$3:$L$586,"=37")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222600.26542398095</v>
      </c>
      <c r="E99" s="138">
        <f>SUMIFS('Plan rashoda za unos u SAP'!$K$3:$K$525,'Plan rashoda za unos u SAP'!$C$3:$C$525,"=11",'Plan rashoda za unos u SAP'!$N$3:$N$525,"=38")+SUMIFS('ANALITIKA EU PROJEKATA'!$I$3:$I$586,'ANALITIKA EU PROJEKATA'!$A$3:$A$586,"=11",'ANALITIKA EU PROJEKATA'!$L$3:$L$586,"=38")</f>
        <v>200000</v>
      </c>
      <c r="F99" s="138">
        <f>SUMIFS('Plan rashoda za unos u SAP'!$K$3:$K$525,'Plan rashoda za unos u SAP'!$C$3:$C$525,"=12",'Plan rashoda za unos u SAP'!$N$3:$N$525,"=38")+SUMIFS('ANALITIKA EU PROJEKATA'!$I$3:$I$586,'ANALITIKA EU PROJEKATA'!$A$3:$A$586,"=12",'ANALITIKA EU PROJEKATA'!$L$3:$L$586,"=38")</f>
        <v>0</v>
      </c>
      <c r="G99" s="138">
        <f>SUMIFS('Plan rashoda za unos u SAP'!$K$3:$K$525,'Plan rashoda za unos u SAP'!$C$3:$C$525,"=31",'Plan rashoda za unos u SAP'!$N$3:$N$525,"=38")+SUMIFS('ANALITIKA EU PROJEKATA'!$I$3:$I$586,'ANALITIKA EU PROJEKATA'!$A$3:$A$586,"=31",'ANALITIKA EU PROJEKATA'!$L$3:$L$586,"=38")</f>
        <v>0</v>
      </c>
      <c r="H99" s="138">
        <f>SUMIFS('Plan rashoda za unos u SAP'!$K$3:$K$525,'Plan rashoda za unos u SAP'!$C$3:$C$525,"=41",'Plan rashoda za unos u SAP'!$N$3:$N$525,"=38")+SUMIFS('ANALITIKA EU PROJEKATA'!$I$3:$I$586,'ANALITIKA EU PROJEKATA'!$A$3:$A$586,"=41",'ANALITIKA EU PROJEKATA'!$L$3:$L$586,"=38")</f>
        <v>0</v>
      </c>
      <c r="I99" s="138">
        <f>SUMIFS('Plan rashoda za unos u SAP'!$K$3:$K$525,'Plan rashoda za unos u SAP'!$C$3:$C$525,"=43",'Plan rashoda za unos u SAP'!$N$3:$N$525,"=38")+SUMIFS('ANALITIKA EU PROJEKATA'!$I$3:$I$586,'ANALITIKA EU PROJEKATA'!$A$3:$A$586,"=43",'ANALITIKA EU PROJEKATA'!$L$3:$L$586,"=38")</f>
        <v>0</v>
      </c>
      <c r="J99" s="138">
        <f>SUMIFS('Plan rashoda za unos u SAP'!$K$3:$K$525,'Plan rashoda za unos u SAP'!$C$3:$C$525,"=51",'Plan rashoda za unos u SAP'!$N$3:$N$525,"=38")+SUMIFS('ANALITIKA EU PROJEKATA'!$I$3:$I$586,'ANALITIKA EU PROJEKATA'!$A$3:$A$586,"=51",'ANALITIKA EU PROJEKATA'!$L$3:$L$586,"=38")</f>
        <v>0</v>
      </c>
      <c r="K99" s="138">
        <f>SUMIFS('Plan rashoda za unos u SAP'!$K$3:$K$525,'Plan rashoda za unos u SAP'!$C$3:$C$525,"=52",'Plan rashoda za unos u SAP'!$N$3:$N$525,"=38")+SUMIFS('ANALITIKA EU PROJEKATA'!$I$3:$I$586,'ANALITIKA EU PROJEKATA'!$A$3:$A$586,"=52",'ANALITIKA EU PROJEKATA'!$L$3:$L$586,"=38")</f>
        <v>22600.265423980956</v>
      </c>
      <c r="L99" s="138">
        <f>SUMIFS('Plan rashoda za unos u SAP'!$K$3:$K$525,'Plan rashoda za unos u SAP'!$C$3:$C$525,"=552",'Plan rashoda za unos u SAP'!$N$3:$N$525,"=38")+SUMIFS('ANALITIKA EU PROJEKATA'!$I$3:$I$586,'ANALITIKA EU PROJEKATA'!$A$3:$A$586,"=552",'ANALITIKA EU PROJEKATA'!$L$3:$L$586,"=38")</f>
        <v>0</v>
      </c>
      <c r="M99" s="138">
        <f>SUMIFS('Plan rashoda za unos u SAP'!$K$3:$K$525,'Plan rashoda za unos u SAP'!$C$3:$C$525,"=559",'Plan rashoda za unos u SAP'!$N$3:$N$525,"=38")+SUMIFS('ANALITIKA EU PROJEKATA'!$I$3:$I$586,'ANALITIKA EU PROJEKATA'!$A$3:$A$586,"=559",'ANALITIKA EU PROJEKATA'!$L$3:$L$586,"=38")</f>
        <v>0</v>
      </c>
      <c r="N99" s="138">
        <f>SUMIFS('Plan rashoda za unos u SAP'!$K$3:$K$525,'Plan rashoda za unos u SAP'!$C$3:$C$525,"=561",'Plan rashoda za unos u SAP'!$N$3:$N$525,"=38")+SUMIFS('ANALITIKA EU PROJEKATA'!$I$3:$I$586,'ANALITIKA EU PROJEKATA'!$A$3:$A$586,"=561",'ANALITIKA EU PROJEKATA'!$L$3:$L$586,"=38")</f>
        <v>0</v>
      </c>
      <c r="O99" s="138">
        <f>SUMIFS('Plan rashoda za unos u SAP'!$K$3:$K$525,'Plan rashoda za unos u SAP'!$C$3:$C$525,"=563",'Plan rashoda za unos u SAP'!$N$3:$N$525,"=38")+SUMIFS('ANALITIKA EU PROJEKATA'!$I$3:$I$586,'ANALITIKA EU PROJEKATA'!$A$3:$A$586,"=563",'ANALITIKA EU PROJEKATA'!$L$3:$L$586,"=38")</f>
        <v>0</v>
      </c>
      <c r="P99" s="138">
        <f>SUMIFS('Plan rashoda za unos u SAP'!$K$3:$K$525,'Plan rashoda za unos u SAP'!$C$3:$C$525,"=573",'Plan rashoda za unos u SAP'!$N$3:$N$525,"=38")+SUMIFS('ANALITIKA EU PROJEKATA'!$I$3:$I$586,'ANALITIKA EU PROJEKATA'!$A$3:$A$586,"=573",'ANALITIKA EU PROJEKATA'!$L$3:$L$586,"=38")</f>
        <v>0</v>
      </c>
      <c r="Q99" s="138">
        <f>SUMIFS('Plan rashoda za unos u SAP'!$K$3:$K$525,'Plan rashoda za unos u SAP'!$C$3:$C$525,"=575",'Plan rashoda za unos u SAP'!$N$3:$N$525,"=38")+SUMIFS('ANALITIKA EU PROJEKATA'!$I$3:$I$586,'ANALITIKA EU PROJEKATA'!$A$3:$A$586,"=575",'ANALITIKA EU PROJEKATA'!$L$3:$L$586,"=38")</f>
        <v>0</v>
      </c>
      <c r="R99" s="138">
        <f>SUMIFS('Plan rashoda za unos u SAP'!$K$3:$K$525,'Plan rashoda za unos u SAP'!$C$3:$C$525,"=576",'Plan rashoda za unos u SAP'!$N$3:$N$525,"=38")+SUMIFS('ANALITIKA EU PROJEKATA'!$I$3:$I$586,'ANALITIKA EU PROJEKATA'!$A$3:$A$586,"=576",'ANALITIKA EU PROJEKATA'!$L$3:$L$586,"=38")</f>
        <v>0</v>
      </c>
      <c r="S99" s="138">
        <f>SUMIFS('Plan rashoda za unos u SAP'!$K$3:$K$525,'Plan rashoda za unos u SAP'!$C$3:$C$525,"=581",'Plan rashoda za unos u SAP'!$N$3:$N$525,"=38")+SUMIFS('ANALITIKA EU PROJEKATA'!$I$3:$I$586,'ANALITIKA EU PROJEKATA'!$A$3:$A$586,"=581",'ANALITIKA EU PROJEKATA'!$L$3:$L$586,"=38")</f>
        <v>0</v>
      </c>
      <c r="T99" s="138">
        <f>SUMIFS('Plan rashoda za unos u SAP'!$K$3:$K$525,'Plan rashoda za unos u SAP'!$C$3:$C$525,"=61",'Plan rashoda za unos u SAP'!$N$3:$N$525,"=38")+SUMIFS('ANALITIKA EU PROJEKATA'!$I$3:$I$586,'ANALITIKA EU PROJEKATA'!$A$3:$A$586,"=61",'ANALITIKA EU PROJEKATA'!$L$3:$L$586,"=38")</f>
        <v>0</v>
      </c>
      <c r="U99" s="138">
        <f>SUMIFS('Plan rashoda za unos u SAP'!$K$3:$K$525,'Plan rashoda za unos u SAP'!$C$3:$C$525,"=63",'Plan rashoda za unos u SAP'!$N$3:$N$525,"=38")+SUMIFS('ANALITIKA EU PROJEKATA'!$I$3:$I$586,'ANALITIKA EU PROJEKATA'!$A$3:$A$586,"=63",'ANALITIKA EU PROJEKATA'!$L$3:$L$586,"=38")</f>
        <v>0</v>
      </c>
      <c r="V99" s="138">
        <f>SUMIFS('Plan rashoda za unos u SAP'!$K$3:$K$525,'Plan rashoda za unos u SAP'!$C$3:$C$525,"=71",'Plan rashoda za unos u SAP'!$N$3:$N$525,"=38")+SUMIFS('ANALITIKA EU PROJEKATA'!$I$3:$I$586,'ANALITIKA EU PROJEKATA'!$A$3:$A$586,"=71",'ANALITIKA EU PROJEKATA'!$L$3:$L$586,"=38")</f>
        <v>0</v>
      </c>
      <c r="W99" s="138">
        <f>SUMIFS('Plan rashoda za unos u SAP'!$K$3:$K$525,'Plan rashoda za unos u SAP'!$C$3:$C$525,"=81",'Plan rashoda za unos u SAP'!$N$3:$N$525,"=38")+SUMIFS('ANALITIKA EU PROJEKATA'!$I$3:$I$586,'ANALITIKA EU PROJEKATA'!$A$3:$A$586,"=81",'ANALITIKA EU PROJEKATA'!$L$3:$L$586,"=38")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17666067.900932603</v>
      </c>
      <c r="E100" s="131">
        <f t="shared" ref="E100:G100" si="33">SUM(E101:E105)</f>
        <v>-495094.41999999993</v>
      </c>
      <c r="F100" s="131">
        <f t="shared" si="33"/>
        <v>2015.12</v>
      </c>
      <c r="G100" s="131">
        <f t="shared" si="33"/>
        <v>1001954</v>
      </c>
      <c r="H100" s="131">
        <f>SUM(H101:H105)</f>
        <v>0</v>
      </c>
      <c r="I100" s="131">
        <f t="shared" ref="I100:K100" si="34">SUM(I101:I105)</f>
        <v>-176590</v>
      </c>
      <c r="J100" s="131">
        <f t="shared" si="34"/>
        <v>95797.159203466785</v>
      </c>
      <c r="K100" s="131">
        <f t="shared" si="34"/>
        <v>16978560.461729139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11419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248006.58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332</v>
      </c>
      <c r="D101" s="133">
        <f t="shared" si="27"/>
        <v>-163475.31</v>
      </c>
      <c r="E101" s="138">
        <f>SUMIFS('Plan rashoda za unos u SAP'!$K$3:$K$525,'Plan rashoda za unos u SAP'!$C$3:$C$525,"=11",'Plan rashoda za unos u SAP'!$N$3:$N$525,"=41")+SUMIFS('ANALITIKA EU PROJEKATA'!$I$3:$I$586,'ANALITIKA EU PROJEKATA'!$A$3:$A$586,"=11",'ANALITIKA EU PROJEKATA'!$L$3:$L$586,"=41")</f>
        <v>-60632.31</v>
      </c>
      <c r="F101" s="138">
        <f>SUMIFS('Plan rashoda za unos u SAP'!$K$3:$K$525,'Plan rashoda za unos u SAP'!$C$3:$C$525,"=12",'Plan rashoda za unos u SAP'!$N$3:$N$525,"=41")+SUMIFS('ANALITIKA EU PROJEKATA'!$I$3:$I$586,'ANALITIKA EU PROJEKATA'!$A$3:$A$586,"=12",'ANALITIKA EU PROJEKATA'!$L$3:$L$586,"=41")</f>
        <v>0</v>
      </c>
      <c r="G101" s="138">
        <f>SUMIFS('Plan rashoda za unos u SAP'!$K$3:$K$525,'Plan rashoda za unos u SAP'!$C$3:$C$525,"=31",'Plan rashoda za unos u SAP'!$N$3:$N$525,"=41")+SUMIFS('ANALITIKA EU PROJEKATA'!$I$3:$I$586,'ANALITIKA EU PROJEKATA'!$A$3:$A$586,"=31",'ANALITIKA EU PROJEKATA'!$L$3:$L$586,"=41")</f>
        <v>5650</v>
      </c>
      <c r="H101" s="138">
        <f>SUMIFS('Plan rashoda za unos u SAP'!$K$3:$K$525,'Plan rashoda za unos u SAP'!$C$3:$C$525,"=41",'Plan rashoda za unos u SAP'!$N$3:$N$525,"=41")+SUMIFS('ANALITIKA EU PROJEKATA'!$I$3:$I$586,'ANALITIKA EU PROJEKATA'!$A$3:$A$586,"=41",'ANALITIKA EU PROJEKATA'!$L$3:$L$586,"=41")</f>
        <v>0</v>
      </c>
      <c r="I101" s="138">
        <f>SUMIFS('Plan rashoda za unos u SAP'!$K$3:$K$525,'Plan rashoda za unos u SAP'!$C$3:$C$525,"=43",'Plan rashoda za unos u SAP'!$N$3:$N$525,"=41")+SUMIFS('ANALITIKA EU PROJEKATA'!$I$3:$I$586,'ANALITIKA EU PROJEKATA'!$A$3:$A$586,"=43",'ANALITIKA EU PROJEKATA'!$L$3:$L$586,"=41")</f>
        <v>-108493</v>
      </c>
      <c r="J101" s="138">
        <f>SUMIFS('Plan rashoda za unos u SAP'!$K$3:$K$525,'Plan rashoda za unos u SAP'!$C$3:$C$525,"=51",'Plan rashoda za unos u SAP'!$N$3:$N$525,"=41")+SUMIFS('ANALITIKA EU PROJEKATA'!$I$3:$I$586,'ANALITIKA EU PROJEKATA'!$A$3:$A$586,"=51",'ANALITIKA EU PROJEKATA'!$L$3:$L$586,"=41")</f>
        <v>0</v>
      </c>
      <c r="K101" s="138">
        <f>SUMIFS('Plan rashoda za unos u SAP'!$K$3:$K$525,'Plan rashoda za unos u SAP'!$C$3:$C$525,"=52",'Plan rashoda za unos u SAP'!$N$3:$N$525,"=41")+SUMIFS('ANALITIKA EU PROJEKATA'!$I$3:$I$586,'ANALITIKA EU PROJEKATA'!$A$3:$A$586,"=52",'ANALITIKA EU PROJEKATA'!$L$3:$L$586,"=41")</f>
        <v>0</v>
      </c>
      <c r="L101" s="138">
        <f>SUMIFS('Plan rashoda za unos u SAP'!$K$3:$K$525,'Plan rashoda za unos u SAP'!$C$3:$C$525,"=552",'Plan rashoda za unos u SAP'!$N$3:$N$525,"=41")+SUMIFS('ANALITIKA EU PROJEKATA'!$I$3:$I$586,'ANALITIKA EU PROJEKATA'!$A$3:$A$586,"=552",'ANALITIKA EU PROJEKATA'!$L$3:$L$586,"=41")</f>
        <v>0</v>
      </c>
      <c r="M101" s="138">
        <f>SUMIFS('Plan rashoda za unos u SAP'!$K$3:$K$525,'Plan rashoda za unos u SAP'!$C$3:$C$525,"=559",'Plan rashoda za unos u SAP'!$N$3:$N$525,"=41")+SUMIFS('ANALITIKA EU PROJEKATA'!$I$3:$I$586,'ANALITIKA EU PROJEKATA'!$A$3:$A$586,"=559",'ANALITIKA EU PROJEKATA'!$L$3:$L$586,"=41")</f>
        <v>0</v>
      </c>
      <c r="N101" s="138">
        <f>SUMIFS('Plan rashoda za unos u SAP'!$K$3:$K$525,'Plan rashoda za unos u SAP'!$C$3:$C$525,"=561",'Plan rashoda za unos u SAP'!$N$3:$N$525,"=41")+SUMIFS('ANALITIKA EU PROJEKATA'!$I$3:$I$586,'ANALITIKA EU PROJEKATA'!$A$3:$A$586,"=561",'ANALITIKA EU PROJEKATA'!$L$3:$L$586,"=41")</f>
        <v>0</v>
      </c>
      <c r="O101" s="138">
        <f>SUMIFS('Plan rashoda za unos u SAP'!$K$3:$K$525,'Plan rashoda za unos u SAP'!$C$3:$C$525,"=563",'Plan rashoda za unos u SAP'!$N$3:$N$525,"=41")+SUMIFS('ANALITIKA EU PROJEKATA'!$I$3:$I$586,'ANALITIKA EU PROJEKATA'!$A$3:$A$586,"=563",'ANALITIKA EU PROJEKATA'!$L$3:$L$586,"=41")</f>
        <v>0</v>
      </c>
      <c r="P101" s="138">
        <f>SUMIFS('Plan rashoda za unos u SAP'!$K$3:$K$525,'Plan rashoda za unos u SAP'!$C$3:$C$525,"=573",'Plan rashoda za unos u SAP'!$N$3:$N$525,"=41")+SUMIFS('ANALITIKA EU PROJEKATA'!$I$3:$I$586,'ANALITIKA EU PROJEKATA'!$A$3:$A$586,"=573",'ANALITIKA EU PROJEKATA'!$L$3:$L$586,"=41")</f>
        <v>0</v>
      </c>
      <c r="Q101" s="138">
        <f>SUMIFS('Plan rashoda za unos u SAP'!$K$3:$K$525,'Plan rashoda za unos u SAP'!$C$3:$C$525,"=575",'Plan rashoda za unos u SAP'!$N$3:$N$525,"=41")+SUMIFS('ANALITIKA EU PROJEKATA'!$I$3:$I$586,'ANALITIKA EU PROJEKATA'!$A$3:$A$586,"=575",'ANALITIKA EU PROJEKATA'!$L$3:$L$586,"=41")</f>
        <v>0</v>
      </c>
      <c r="R101" s="138">
        <f>SUMIFS('Plan rashoda za unos u SAP'!$K$3:$K$525,'Plan rashoda za unos u SAP'!$C$3:$C$525,"=576",'Plan rashoda za unos u SAP'!$N$3:$N$525,"=41")+SUMIFS('ANALITIKA EU PROJEKATA'!$I$3:$I$586,'ANALITIKA EU PROJEKATA'!$A$3:$A$586,"=576",'ANALITIKA EU PROJEKATA'!$L$3:$L$586,"=41")</f>
        <v>0</v>
      </c>
      <c r="S101" s="138">
        <f>SUMIFS('Plan rashoda za unos u SAP'!$K$3:$K$525,'Plan rashoda za unos u SAP'!$C$3:$C$525,"=581",'Plan rashoda za unos u SAP'!$N$3:$N$525,"=41")+SUMIFS('ANALITIKA EU PROJEKATA'!$I$3:$I$586,'ANALITIKA EU PROJEKATA'!$A$3:$A$586,"=581",'ANALITIKA EU PROJEKATA'!$L$3:$L$586,"=41")</f>
        <v>0</v>
      </c>
      <c r="T101" s="138">
        <f>SUMIFS('Plan rashoda za unos u SAP'!$K$3:$K$525,'Plan rashoda za unos u SAP'!$C$3:$C$525,"=61",'Plan rashoda za unos u SAP'!$N$3:$N$525,"=41")+SUMIFS('ANALITIKA EU PROJEKATA'!$I$3:$I$586,'ANALITIKA EU PROJEKATA'!$A$3:$A$586,"=61",'ANALITIKA EU PROJEKATA'!$L$3:$L$586,"=41")</f>
        <v>0</v>
      </c>
      <c r="U101" s="138">
        <f>SUMIFS('Plan rashoda za unos u SAP'!$K$3:$K$525,'Plan rashoda za unos u SAP'!$C$3:$C$525,"=63",'Plan rashoda za unos u SAP'!$N$3:$N$525,"=41")+SUMIFS('ANALITIKA EU PROJEKATA'!$I$3:$I$586,'ANALITIKA EU PROJEKATA'!$A$3:$A$586,"=63",'ANALITIKA EU PROJEKATA'!$L$3:$L$586,"=41")</f>
        <v>0</v>
      </c>
      <c r="V101" s="138">
        <f>SUMIFS('Plan rashoda za unos u SAP'!$K$3:$K$525,'Plan rashoda za unos u SAP'!$C$3:$C$525,"=71",'Plan rashoda za unos u SAP'!$N$3:$N$525,"=41")+SUMIFS('ANALITIKA EU PROJEKATA'!$I$3:$I$586,'ANALITIKA EU PROJEKATA'!$A$3:$A$586,"=71",'ANALITIKA EU PROJEKATA'!$L$3:$L$586,"=41")</f>
        <v>0</v>
      </c>
      <c r="W101" s="138">
        <f>SUMIFS('Plan rashoda za unos u SAP'!$K$3:$K$525,'Plan rashoda za unos u SAP'!$C$3:$C$525,"=81",'Plan rashoda za unos u SAP'!$N$3:$N$525,"=41")+SUMIFS('ANALITIKA EU PROJEKATA'!$I$3:$I$586,'ANALITIKA EU PROJEKATA'!$A$3:$A$586,"=81",'ANALITIKA EU PROJEKATA'!$L$3:$L$586,"=41")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591493.2109326059</v>
      </c>
      <c r="E102" s="138">
        <f>SUMIFS('Plan rashoda za unos u SAP'!$K$3:$K$525,'Plan rashoda za unos u SAP'!$C$3:$C$525,"=11",'Plan rashoda za unos u SAP'!$N$3:$N$525,"=42")+SUMIFS('ANALITIKA EU PROJEKATA'!$I$3:$I$586,'ANALITIKA EU PROJEKATA'!$A$3:$A$586,"=11",'ANALITIKA EU PROJEKATA'!$L$3:$L$586,"=42")</f>
        <v>-434462.10999999993</v>
      </c>
      <c r="F102" s="138">
        <f>SUMIFS('Plan rashoda za unos u SAP'!$K$3:$K$525,'Plan rashoda za unos u SAP'!$C$3:$C$525,"=12",'Plan rashoda za unos u SAP'!$N$3:$N$525,"=42")+SUMIFS('ANALITIKA EU PROJEKATA'!$I$3:$I$586,'ANALITIKA EU PROJEKATA'!$A$3:$A$586,"=12",'ANALITIKA EU PROJEKATA'!$L$3:$L$586,"=42")</f>
        <v>2015.12</v>
      </c>
      <c r="G102" s="138">
        <f>SUMIFS('Plan rashoda za unos u SAP'!$K$3:$K$525,'Plan rashoda za unos u SAP'!$C$3:$C$525,"=31",'Plan rashoda za unos u SAP'!$N$3:$N$525,"=42")+SUMIFS('ANALITIKA EU PROJEKATA'!$I$3:$I$586,'ANALITIKA EU PROJEKATA'!$A$3:$A$586,"=31",'ANALITIKA EU PROJEKATA'!$L$3:$L$586,"=42")</f>
        <v>234226</v>
      </c>
      <c r="H102" s="138">
        <f>SUMIFS('Plan rashoda za unos u SAP'!$K$3:$K$525,'Plan rashoda za unos u SAP'!$C$3:$C$525,"=41",'Plan rashoda za unos u SAP'!$N$3:$N$525,"=42")+SUMIFS('ANALITIKA EU PROJEKATA'!$I$3:$I$586,'ANALITIKA EU PROJEKATA'!$A$3:$A$586,"=41",'ANALITIKA EU PROJEKATA'!$L$3:$L$586,"=42")</f>
        <v>0</v>
      </c>
      <c r="I102" s="138">
        <f>SUMIFS('Plan rashoda za unos u SAP'!$K$3:$K$525,'Plan rashoda za unos u SAP'!$C$3:$C$525,"=43",'Plan rashoda za unos u SAP'!$N$3:$N$525,"=42")+SUMIFS('ANALITIKA EU PROJEKATA'!$I$3:$I$586,'ANALITIKA EU PROJEKATA'!$A$3:$A$586,"=43",'ANALITIKA EU PROJEKATA'!$L$3:$L$586,"=42")</f>
        <v>-68097</v>
      </c>
      <c r="J102" s="138">
        <f>SUMIFS('Plan rashoda za unos u SAP'!$K$3:$K$525,'Plan rashoda za unos u SAP'!$C$3:$C$525,"=51",'Plan rashoda za unos u SAP'!$N$3:$N$525,"=42")+SUMIFS('ANALITIKA EU PROJEKATA'!$I$3:$I$586,'ANALITIKA EU PROJEKATA'!$A$3:$A$586,"=51",'ANALITIKA EU PROJEKATA'!$L$3:$L$586,"=42")</f>
        <v>95797.159203466785</v>
      </c>
      <c r="K102" s="138">
        <f>SUMIFS('Plan rashoda za unos u SAP'!$K$3:$K$525,'Plan rashoda za unos u SAP'!$C$3:$C$525,"=52",'Plan rashoda za unos u SAP'!$N$3:$N$525,"=42")+SUMIFS('ANALITIKA EU PROJEKATA'!$I$3:$I$586,'ANALITIKA EU PROJEKATA'!$A$3:$A$586,"=52",'ANALITIKA EU PROJEKATA'!$L$3:$L$586,"=42")</f>
        <v>502588.46172913903</v>
      </c>
      <c r="L102" s="138">
        <f>SUMIFS('Plan rashoda za unos u SAP'!$K$3:$K$525,'Plan rashoda za unos u SAP'!$C$3:$C$525,"=552",'Plan rashoda za unos u SAP'!$N$3:$N$525,"=42")+SUMIFS('ANALITIKA EU PROJEKATA'!$I$3:$I$586,'ANALITIKA EU PROJEKATA'!$A$3:$A$586,"=552",'ANALITIKA EU PROJEKATA'!$L$3:$L$586,"=42")</f>
        <v>0</v>
      </c>
      <c r="M102" s="138">
        <f>SUMIFS('Plan rashoda za unos u SAP'!$K$3:$K$525,'Plan rashoda za unos u SAP'!$C$3:$C$525,"=559",'Plan rashoda za unos u SAP'!$N$3:$N$525,"=42")+SUMIFS('ANALITIKA EU PROJEKATA'!$I$3:$I$586,'ANALITIKA EU PROJEKATA'!$A$3:$A$586,"=559",'ANALITIKA EU PROJEKATA'!$L$3:$L$586,"=42")</f>
        <v>0</v>
      </c>
      <c r="N102" s="138">
        <f>SUMIFS('Plan rashoda za unos u SAP'!$K$3:$K$525,'Plan rashoda za unos u SAP'!$C$3:$C$525,"=561",'Plan rashoda za unos u SAP'!$N$3:$N$525,"=42")+SUMIFS('ANALITIKA EU PROJEKATA'!$I$3:$I$586,'ANALITIKA EU PROJEKATA'!$A$3:$A$586,"=561",'ANALITIKA EU PROJEKATA'!$L$3:$L$586,"=42")</f>
        <v>11419</v>
      </c>
      <c r="O102" s="138">
        <f>SUMIFS('Plan rashoda za unos u SAP'!$K$3:$K$525,'Plan rashoda za unos u SAP'!$C$3:$C$525,"=563",'Plan rashoda za unos u SAP'!$N$3:$N$525,"=42")+SUMIFS('ANALITIKA EU PROJEKATA'!$I$3:$I$586,'ANALITIKA EU PROJEKATA'!$A$3:$A$586,"=563",'ANALITIKA EU PROJEKATA'!$L$3:$L$586,"=42")</f>
        <v>0</v>
      </c>
      <c r="P102" s="138">
        <f>SUMIFS('Plan rashoda za unos u SAP'!$K$3:$K$525,'Plan rashoda za unos u SAP'!$C$3:$C$525,"=573",'Plan rashoda za unos u SAP'!$N$3:$N$525,"=42")+SUMIFS('ANALITIKA EU PROJEKATA'!$I$3:$I$586,'ANALITIKA EU PROJEKATA'!$A$3:$A$586,"=573",'ANALITIKA EU PROJEKATA'!$L$3:$L$586,"=42")</f>
        <v>0</v>
      </c>
      <c r="Q102" s="138">
        <f>SUMIFS('Plan rashoda za unos u SAP'!$K$3:$K$525,'Plan rashoda za unos u SAP'!$C$3:$C$525,"=575",'Plan rashoda za unos u SAP'!$N$3:$N$525,"=42")+SUMIFS('ANALITIKA EU PROJEKATA'!$I$3:$I$586,'ANALITIKA EU PROJEKATA'!$A$3:$A$586,"=575",'ANALITIKA EU PROJEKATA'!$L$3:$L$586,"=42")</f>
        <v>0</v>
      </c>
      <c r="R102" s="138">
        <f>SUMIFS('Plan rashoda za unos u SAP'!$K$3:$K$525,'Plan rashoda za unos u SAP'!$C$3:$C$525,"=576",'Plan rashoda za unos u SAP'!$N$3:$N$525,"=42")+SUMIFS('ANALITIKA EU PROJEKATA'!$I$3:$I$586,'ANALITIKA EU PROJEKATA'!$A$3:$A$586,"=576",'ANALITIKA EU PROJEKATA'!$L$3:$L$586,"=42")</f>
        <v>0</v>
      </c>
      <c r="S102" s="138">
        <f>SUMIFS('Plan rashoda za unos u SAP'!$K$3:$K$525,'Plan rashoda za unos u SAP'!$C$3:$C$525,"=581",'Plan rashoda za unos u SAP'!$N$3:$N$525,"=42")+SUMIFS('ANALITIKA EU PROJEKATA'!$I$3:$I$586,'ANALITIKA EU PROJEKATA'!$A$3:$A$586,"=581",'ANALITIKA EU PROJEKATA'!$L$3:$L$586,"=42")</f>
        <v>0</v>
      </c>
      <c r="T102" s="138">
        <f>SUMIFS('Plan rashoda za unos u SAP'!$K$3:$K$525,'Plan rashoda za unos u SAP'!$C$3:$C$525,"=61",'Plan rashoda za unos u SAP'!$N$3:$N$525,"=42")+SUMIFS('ANALITIKA EU PROJEKATA'!$I$3:$I$586,'ANALITIKA EU PROJEKATA'!$A$3:$A$586,"=61",'ANALITIKA EU PROJEKATA'!$L$3:$L$586,"=42")</f>
        <v>248006.58</v>
      </c>
      <c r="U102" s="138">
        <f>SUMIFS('Plan rashoda za unos u SAP'!$K$3:$K$525,'Plan rashoda za unos u SAP'!$C$3:$C$525,"=63",'Plan rashoda za unos u SAP'!$N$3:$N$525,"=42")+SUMIFS('ANALITIKA EU PROJEKATA'!$I$3:$I$586,'ANALITIKA EU PROJEKATA'!$A$3:$A$586,"=63",'ANALITIKA EU PROJEKATA'!$L$3:$L$586,"=42")</f>
        <v>0</v>
      </c>
      <c r="V102" s="138">
        <f>SUMIFS('Plan rashoda za unos u SAP'!$K$3:$K$525,'Plan rashoda za unos u SAP'!$C$3:$C$525,"=71",'Plan rashoda za unos u SAP'!$N$3:$N$525,"=42")+SUMIFS('ANALITIKA EU PROJEKATA'!$I$3:$I$586,'ANALITIKA EU PROJEKATA'!$A$3:$A$586,"=71",'ANALITIKA EU PROJEKATA'!$L$3:$L$586,"=42")</f>
        <v>0</v>
      </c>
      <c r="W102" s="138">
        <f>SUMIFS('Plan rashoda za unos u SAP'!$K$3:$K$525,'Plan rashoda za unos u SAP'!$C$3:$C$525,"=81",'Plan rashoda za unos u SAP'!$N$3:$N$525,"=42")+SUMIFS('ANALITIKA EU PROJEKATA'!$I$3:$I$586,'ANALITIKA EU PROJEKATA'!$A$3:$A$586,"=81",'ANALITIKA EU PROJEKATA'!$L$3:$L$586,"=42")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336</v>
      </c>
      <c r="D103" s="133">
        <f t="shared" si="27"/>
        <v>0</v>
      </c>
      <c r="E103" s="138">
        <f>SUMIFS('Plan rashoda za unos u SAP'!$K$3:$K$525,'Plan rashoda za unos u SAP'!$C$3:$C$525,"=11",'Plan rashoda za unos u SAP'!$N$3:$N$525,"=43")+SUMIFS('ANALITIKA EU PROJEKATA'!$I$3:$I$586,'ANALITIKA EU PROJEKATA'!$A$3:$A$586,"=11",'ANALITIKA EU PROJEKATA'!$L$3:$L$586,"=43")</f>
        <v>0</v>
      </c>
      <c r="F103" s="138">
        <f>SUMIFS('Plan rashoda za unos u SAP'!$K$3:$K$525,'Plan rashoda za unos u SAP'!$C$3:$C$525,"=12",'Plan rashoda za unos u SAP'!$N$3:$N$525,"=43")+SUMIFS('ANALITIKA EU PROJEKATA'!$I$3:$I$586,'ANALITIKA EU PROJEKATA'!$A$3:$A$586,"=12",'ANALITIKA EU PROJEKATA'!$L$3:$L$586,"=43")</f>
        <v>0</v>
      </c>
      <c r="G103" s="138">
        <f>SUMIFS('Plan rashoda za unos u SAP'!$K$3:$K$525,'Plan rashoda za unos u SAP'!$C$3:$C$525,"=31",'Plan rashoda za unos u SAP'!$N$3:$N$525,"=43")+SUMIFS('ANALITIKA EU PROJEKATA'!$I$3:$I$586,'ANALITIKA EU PROJEKATA'!$A$3:$A$586,"=31",'ANALITIKA EU PROJEKATA'!$L$3:$L$586,"=43")</f>
        <v>0</v>
      </c>
      <c r="H103" s="138">
        <f>SUMIFS('Plan rashoda za unos u SAP'!$K$3:$K$525,'Plan rashoda za unos u SAP'!$C$3:$C$525,"=41",'Plan rashoda za unos u SAP'!$N$3:$N$525,"=43")+SUMIFS('ANALITIKA EU PROJEKATA'!$I$3:$I$586,'ANALITIKA EU PROJEKATA'!$A$3:$A$586,"=41",'ANALITIKA EU PROJEKATA'!$L$3:$L$586,"=43")</f>
        <v>0</v>
      </c>
      <c r="I103" s="138">
        <f>SUMIFS('Plan rashoda za unos u SAP'!$K$3:$K$525,'Plan rashoda za unos u SAP'!$C$3:$C$525,"=43",'Plan rashoda za unos u SAP'!$N$3:$N$525,"=43")+SUMIFS('ANALITIKA EU PROJEKATA'!$I$3:$I$586,'ANALITIKA EU PROJEKATA'!$A$3:$A$586,"=43",'ANALITIKA EU PROJEKATA'!$L$3:$L$586,"=43")</f>
        <v>0</v>
      </c>
      <c r="J103" s="138">
        <f>SUMIFS('Plan rashoda za unos u SAP'!$K$3:$K$525,'Plan rashoda za unos u SAP'!$C$3:$C$525,"=51",'Plan rashoda za unos u SAP'!$N$3:$N$525,"=43")+SUMIFS('ANALITIKA EU PROJEKATA'!$I$3:$I$586,'ANALITIKA EU PROJEKATA'!$A$3:$A$586,"=51",'ANALITIKA EU PROJEKATA'!$L$3:$L$586,"=43")</f>
        <v>0</v>
      </c>
      <c r="K103" s="138">
        <f>SUMIFS('Plan rashoda za unos u SAP'!$K$3:$K$525,'Plan rashoda za unos u SAP'!$C$3:$C$525,"=52",'Plan rashoda za unos u SAP'!$N$3:$N$525,"=43")+SUMIFS('ANALITIKA EU PROJEKATA'!$I$3:$I$586,'ANALITIKA EU PROJEKATA'!$A$3:$A$586,"=52",'ANALITIKA EU PROJEKATA'!$L$3:$L$586,"=43")</f>
        <v>0</v>
      </c>
      <c r="L103" s="138">
        <f>SUMIFS('Plan rashoda za unos u SAP'!$K$3:$K$525,'Plan rashoda za unos u SAP'!$C$3:$C$525,"=552",'Plan rashoda za unos u SAP'!$N$3:$N$525,"=43")+SUMIFS('ANALITIKA EU PROJEKATA'!$I$3:$I$586,'ANALITIKA EU PROJEKATA'!$A$3:$A$586,"=552",'ANALITIKA EU PROJEKATA'!$L$3:$L$586,"=43")</f>
        <v>0</v>
      </c>
      <c r="M103" s="138">
        <f>SUMIFS('Plan rashoda za unos u SAP'!$K$3:$K$525,'Plan rashoda za unos u SAP'!$C$3:$C$525,"=559",'Plan rashoda za unos u SAP'!$N$3:$N$525,"=43")+SUMIFS('ANALITIKA EU PROJEKATA'!$I$3:$I$586,'ANALITIKA EU PROJEKATA'!$A$3:$A$586,"=559",'ANALITIKA EU PROJEKATA'!$L$3:$L$586,"=43")</f>
        <v>0</v>
      </c>
      <c r="N103" s="138">
        <f>SUMIFS('Plan rashoda za unos u SAP'!$K$3:$K$525,'Plan rashoda za unos u SAP'!$C$3:$C$525,"=561",'Plan rashoda za unos u SAP'!$N$3:$N$525,"=43")+SUMIFS('ANALITIKA EU PROJEKATA'!$I$3:$I$586,'ANALITIKA EU PROJEKATA'!$A$3:$A$586,"=561",'ANALITIKA EU PROJEKATA'!$L$3:$L$586,"=43")</f>
        <v>0</v>
      </c>
      <c r="O103" s="138">
        <f>SUMIFS('Plan rashoda za unos u SAP'!$K$3:$K$525,'Plan rashoda za unos u SAP'!$C$3:$C$525,"=563",'Plan rashoda za unos u SAP'!$N$3:$N$525,"=43")+SUMIFS('ANALITIKA EU PROJEKATA'!$I$3:$I$586,'ANALITIKA EU PROJEKATA'!$A$3:$A$586,"=563",'ANALITIKA EU PROJEKATA'!$L$3:$L$586,"=43")</f>
        <v>0</v>
      </c>
      <c r="P103" s="138">
        <f>SUMIFS('Plan rashoda za unos u SAP'!$K$3:$K$525,'Plan rashoda za unos u SAP'!$C$3:$C$525,"=573",'Plan rashoda za unos u SAP'!$N$3:$N$525,"=43")+SUMIFS('ANALITIKA EU PROJEKATA'!$I$3:$I$586,'ANALITIKA EU PROJEKATA'!$A$3:$A$586,"=573",'ANALITIKA EU PROJEKATA'!$L$3:$L$586,"=43")</f>
        <v>0</v>
      </c>
      <c r="Q103" s="138">
        <f>SUMIFS('Plan rashoda za unos u SAP'!$K$3:$K$525,'Plan rashoda za unos u SAP'!$C$3:$C$525,"=575",'Plan rashoda za unos u SAP'!$N$3:$N$525,"=43")+SUMIFS('ANALITIKA EU PROJEKATA'!$I$3:$I$586,'ANALITIKA EU PROJEKATA'!$A$3:$A$586,"=575",'ANALITIKA EU PROJEKATA'!$L$3:$L$586,"=43")</f>
        <v>0</v>
      </c>
      <c r="R103" s="138">
        <f>SUMIFS('Plan rashoda za unos u SAP'!$K$3:$K$525,'Plan rashoda za unos u SAP'!$C$3:$C$525,"=576",'Plan rashoda za unos u SAP'!$N$3:$N$525,"=43")+SUMIFS('ANALITIKA EU PROJEKATA'!$I$3:$I$586,'ANALITIKA EU PROJEKATA'!$A$3:$A$586,"=576",'ANALITIKA EU PROJEKATA'!$L$3:$L$586,"=43")</f>
        <v>0</v>
      </c>
      <c r="S103" s="138">
        <f>SUMIFS('Plan rashoda za unos u SAP'!$K$3:$K$525,'Plan rashoda za unos u SAP'!$C$3:$C$525,"=581",'Plan rashoda za unos u SAP'!$N$3:$N$525,"=43")+SUMIFS('ANALITIKA EU PROJEKATA'!$I$3:$I$586,'ANALITIKA EU PROJEKATA'!$A$3:$A$586,"=581",'ANALITIKA EU PROJEKATA'!$L$3:$L$586,"=43")</f>
        <v>0</v>
      </c>
      <c r="T103" s="138">
        <f>SUMIFS('Plan rashoda za unos u SAP'!$K$3:$K$525,'Plan rashoda za unos u SAP'!$C$3:$C$525,"=61",'Plan rashoda za unos u SAP'!$N$3:$N$525,"=43")+SUMIFS('ANALITIKA EU PROJEKATA'!$I$3:$I$586,'ANALITIKA EU PROJEKATA'!$A$3:$A$586,"=61",'ANALITIKA EU PROJEKATA'!$L$3:$L$586,"=43")</f>
        <v>0</v>
      </c>
      <c r="U103" s="138">
        <f>SUMIFS('Plan rashoda za unos u SAP'!$K$3:$K$525,'Plan rashoda za unos u SAP'!$C$3:$C$525,"=63",'Plan rashoda za unos u SAP'!$N$3:$N$525,"=43")+SUMIFS('ANALITIKA EU PROJEKATA'!$I$3:$I$586,'ANALITIKA EU PROJEKATA'!$A$3:$A$586,"=63",'ANALITIKA EU PROJEKATA'!$L$3:$L$586,"=43")</f>
        <v>0</v>
      </c>
      <c r="V103" s="138">
        <f>SUMIFS('Plan rashoda za unos u SAP'!$K$3:$K$525,'Plan rashoda za unos u SAP'!$C$3:$C$525,"=71",'Plan rashoda za unos u SAP'!$N$3:$N$525,"=43")+SUMIFS('ANALITIKA EU PROJEKATA'!$I$3:$I$586,'ANALITIKA EU PROJEKATA'!$A$3:$A$586,"=71",'ANALITIKA EU PROJEKATA'!$L$3:$L$586,"=43")</f>
        <v>0</v>
      </c>
      <c r="W103" s="138">
        <f>SUMIFS('Plan rashoda za unos u SAP'!$K$3:$K$525,'Plan rashoda za unos u SAP'!$C$3:$C$525,"=81",'Plan rashoda za unos u SAP'!$N$3:$N$525,"=43")+SUMIFS('ANALITIKA EU PROJEKATA'!$I$3:$I$586,'ANALITIKA EU PROJEKATA'!$A$3:$A$586,"=81",'ANALITIKA EU PROJEKATA'!$L$3:$L$586,"=43")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337</v>
      </c>
      <c r="D104" s="133">
        <f t="shared" si="27"/>
        <v>0</v>
      </c>
      <c r="E104" s="138">
        <f>SUMIFS('Plan rashoda za unos u SAP'!$K$3:$K$525,'Plan rashoda za unos u SAP'!$C$3:$C$525,"=11",'Plan rashoda za unos u SAP'!$N$3:$N$525,"=44")+SUMIFS('ANALITIKA EU PROJEKATA'!$I$3:$I$586,'ANALITIKA EU PROJEKATA'!$A$3:$A$586,"=11",'ANALITIKA EU PROJEKATA'!$L$3:$L$586,"=44")</f>
        <v>0</v>
      </c>
      <c r="F104" s="138">
        <f>SUMIFS('Plan rashoda za unos u SAP'!$K$3:$K$525,'Plan rashoda za unos u SAP'!$C$3:$C$525,"=12",'Plan rashoda za unos u SAP'!$N$3:$N$525,"=44")+SUMIFS('ANALITIKA EU PROJEKATA'!$I$3:$I$586,'ANALITIKA EU PROJEKATA'!$A$3:$A$586,"=12",'ANALITIKA EU PROJEKATA'!$L$3:$L$586,"=44")</f>
        <v>0</v>
      </c>
      <c r="G104" s="138">
        <f>SUMIFS('Plan rashoda za unos u SAP'!$K$3:$K$525,'Plan rashoda za unos u SAP'!$C$3:$C$525,"=31",'Plan rashoda za unos u SAP'!$N$3:$N$525,"=44")+SUMIFS('ANALITIKA EU PROJEKATA'!$I$3:$I$586,'ANALITIKA EU PROJEKATA'!$A$3:$A$586,"=31",'ANALITIKA EU PROJEKATA'!$L$3:$L$586,"=44")</f>
        <v>0</v>
      </c>
      <c r="H104" s="138">
        <f>SUMIFS('Plan rashoda za unos u SAP'!$K$3:$K$525,'Plan rashoda za unos u SAP'!$C$3:$C$525,"=41",'Plan rashoda za unos u SAP'!$N$3:$N$525,"=44")+SUMIFS('ANALITIKA EU PROJEKATA'!$I$3:$I$586,'ANALITIKA EU PROJEKATA'!$A$3:$A$586,"=41",'ANALITIKA EU PROJEKATA'!$L$3:$L$586,"=44")</f>
        <v>0</v>
      </c>
      <c r="I104" s="138">
        <f>SUMIFS('Plan rashoda za unos u SAP'!$K$3:$K$525,'Plan rashoda za unos u SAP'!$C$3:$C$525,"=43",'Plan rashoda za unos u SAP'!$N$3:$N$525,"=44")+SUMIFS('ANALITIKA EU PROJEKATA'!$I$3:$I$586,'ANALITIKA EU PROJEKATA'!$A$3:$A$586,"=43",'ANALITIKA EU PROJEKATA'!$L$3:$L$586,"=44")</f>
        <v>0</v>
      </c>
      <c r="J104" s="138">
        <f>SUMIFS('Plan rashoda za unos u SAP'!$K$3:$K$525,'Plan rashoda za unos u SAP'!$C$3:$C$525,"=51",'Plan rashoda za unos u SAP'!$N$3:$N$525,"=44")+SUMIFS('ANALITIKA EU PROJEKATA'!$I$3:$I$586,'ANALITIKA EU PROJEKATA'!$A$3:$A$586,"=51",'ANALITIKA EU PROJEKATA'!$L$3:$L$586,"=44")</f>
        <v>0</v>
      </c>
      <c r="K104" s="138">
        <f>SUMIFS('Plan rashoda za unos u SAP'!$K$3:$K$525,'Plan rashoda za unos u SAP'!$C$3:$C$525,"=52",'Plan rashoda za unos u SAP'!$N$3:$N$525,"=44")+SUMIFS('ANALITIKA EU PROJEKATA'!$I$3:$I$586,'ANALITIKA EU PROJEKATA'!$A$3:$A$586,"=52",'ANALITIKA EU PROJEKATA'!$L$3:$L$586,"=44")</f>
        <v>0</v>
      </c>
      <c r="L104" s="138">
        <f>SUMIFS('Plan rashoda za unos u SAP'!$K$3:$K$525,'Plan rashoda za unos u SAP'!$C$3:$C$525,"=552",'Plan rashoda za unos u SAP'!$N$3:$N$525,"=44")+SUMIFS('ANALITIKA EU PROJEKATA'!$I$3:$I$586,'ANALITIKA EU PROJEKATA'!$A$3:$A$586,"=552",'ANALITIKA EU PROJEKATA'!$L$3:$L$586,"=44")</f>
        <v>0</v>
      </c>
      <c r="M104" s="138">
        <f>SUMIFS('Plan rashoda za unos u SAP'!$K$3:$K$525,'Plan rashoda za unos u SAP'!$C$3:$C$525,"=559",'Plan rashoda za unos u SAP'!$N$3:$N$525,"=44")+SUMIFS('ANALITIKA EU PROJEKATA'!$I$3:$I$586,'ANALITIKA EU PROJEKATA'!$A$3:$A$586,"=559",'ANALITIKA EU PROJEKATA'!$L$3:$L$586,"=44")</f>
        <v>0</v>
      </c>
      <c r="N104" s="138">
        <f>SUMIFS('Plan rashoda za unos u SAP'!$K$3:$K$525,'Plan rashoda za unos u SAP'!$C$3:$C$525,"=561",'Plan rashoda za unos u SAP'!$N$3:$N$525,"=44")+SUMIFS('ANALITIKA EU PROJEKATA'!$I$3:$I$586,'ANALITIKA EU PROJEKATA'!$A$3:$A$586,"=561",'ANALITIKA EU PROJEKATA'!$L$3:$L$586,"=44")</f>
        <v>0</v>
      </c>
      <c r="O104" s="138">
        <f>SUMIFS('Plan rashoda za unos u SAP'!$K$3:$K$525,'Plan rashoda za unos u SAP'!$C$3:$C$525,"=563",'Plan rashoda za unos u SAP'!$N$3:$N$525,"=44")+SUMIFS('ANALITIKA EU PROJEKATA'!$I$3:$I$586,'ANALITIKA EU PROJEKATA'!$A$3:$A$586,"=563",'ANALITIKA EU PROJEKATA'!$L$3:$L$586,"=44")</f>
        <v>0</v>
      </c>
      <c r="P104" s="138">
        <f>SUMIFS('Plan rashoda za unos u SAP'!$K$3:$K$525,'Plan rashoda za unos u SAP'!$C$3:$C$525,"=573",'Plan rashoda za unos u SAP'!$N$3:$N$525,"=44")+SUMIFS('ANALITIKA EU PROJEKATA'!$I$3:$I$586,'ANALITIKA EU PROJEKATA'!$A$3:$A$586,"=573",'ANALITIKA EU PROJEKATA'!$L$3:$L$586,"=44")</f>
        <v>0</v>
      </c>
      <c r="Q104" s="138">
        <f>SUMIFS('Plan rashoda za unos u SAP'!$K$3:$K$525,'Plan rashoda za unos u SAP'!$C$3:$C$525,"=575",'Plan rashoda za unos u SAP'!$N$3:$N$525,"=44")+SUMIFS('ANALITIKA EU PROJEKATA'!$I$3:$I$586,'ANALITIKA EU PROJEKATA'!$A$3:$A$586,"=575",'ANALITIKA EU PROJEKATA'!$L$3:$L$586,"=44")</f>
        <v>0</v>
      </c>
      <c r="R104" s="138">
        <f>SUMIFS('Plan rashoda za unos u SAP'!$K$3:$K$525,'Plan rashoda za unos u SAP'!$C$3:$C$525,"=576",'Plan rashoda za unos u SAP'!$N$3:$N$525,"=44")+SUMIFS('ANALITIKA EU PROJEKATA'!$I$3:$I$586,'ANALITIKA EU PROJEKATA'!$A$3:$A$586,"=576",'ANALITIKA EU PROJEKATA'!$L$3:$L$586,"=44")</f>
        <v>0</v>
      </c>
      <c r="S104" s="138">
        <f>SUMIFS('Plan rashoda za unos u SAP'!$K$3:$K$525,'Plan rashoda za unos u SAP'!$C$3:$C$525,"=581",'Plan rashoda za unos u SAP'!$N$3:$N$525,"=44")+SUMIFS('ANALITIKA EU PROJEKATA'!$I$3:$I$586,'ANALITIKA EU PROJEKATA'!$A$3:$A$586,"=581",'ANALITIKA EU PROJEKATA'!$L$3:$L$586,"=44")</f>
        <v>0</v>
      </c>
      <c r="T104" s="138">
        <f>SUMIFS('Plan rashoda za unos u SAP'!$K$3:$K$525,'Plan rashoda za unos u SAP'!$C$3:$C$525,"=61",'Plan rashoda za unos u SAP'!$N$3:$N$525,"=44")+SUMIFS('ANALITIKA EU PROJEKATA'!$I$3:$I$586,'ANALITIKA EU PROJEKATA'!$A$3:$A$586,"=61",'ANALITIKA EU PROJEKATA'!$L$3:$L$586,"=44")</f>
        <v>0</v>
      </c>
      <c r="U104" s="138">
        <f>SUMIFS('Plan rashoda za unos u SAP'!$K$3:$K$525,'Plan rashoda za unos u SAP'!$C$3:$C$525,"=63",'Plan rashoda za unos u SAP'!$N$3:$N$525,"=44")+SUMIFS('ANALITIKA EU PROJEKATA'!$I$3:$I$586,'ANALITIKA EU PROJEKATA'!$A$3:$A$586,"=63",'ANALITIKA EU PROJEKATA'!$L$3:$L$586,"=44")</f>
        <v>0</v>
      </c>
      <c r="V104" s="138">
        <f>SUMIFS('Plan rashoda za unos u SAP'!$K$3:$K$525,'Plan rashoda za unos u SAP'!$C$3:$C$525,"=71",'Plan rashoda za unos u SAP'!$N$3:$N$525,"=44")+SUMIFS('ANALITIKA EU PROJEKATA'!$I$3:$I$586,'ANALITIKA EU PROJEKATA'!$A$3:$A$586,"=71",'ANALITIKA EU PROJEKATA'!$L$3:$L$586,"=44")</f>
        <v>0</v>
      </c>
      <c r="W104" s="138">
        <f>SUMIFS('Plan rashoda za unos u SAP'!$K$3:$K$525,'Plan rashoda za unos u SAP'!$C$3:$C$525,"=81",'Plan rashoda za unos u SAP'!$N$3:$N$525,"=44")+SUMIFS('ANALITIKA EU PROJEKATA'!$I$3:$I$586,'ANALITIKA EU PROJEKATA'!$A$3:$A$586,"=81",'ANALITIKA EU PROJEKATA'!$L$3:$L$586,"=44")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17238050</v>
      </c>
      <c r="E105" s="138">
        <f>SUMIFS('Plan rashoda za unos u SAP'!$K$3:$K$525,'Plan rashoda za unos u SAP'!$C$3:$C$525,"=11",'Plan rashoda za unos u SAP'!$N$3:$N$525,"=45")+SUMIFS('ANALITIKA EU PROJEKATA'!$I$3:$I$586,'ANALITIKA EU PROJEKATA'!$A$3:$A$586,"=11",'ANALITIKA EU PROJEKATA'!$L$3:$L$586,"=45")</f>
        <v>0</v>
      </c>
      <c r="F105" s="138">
        <f>SUMIFS('Plan rashoda za unos u SAP'!$K$3:$K$525,'Plan rashoda za unos u SAP'!$C$3:$C$525,"=12",'Plan rashoda za unos u SAP'!$N$3:$N$525,"=45")+SUMIFS('ANALITIKA EU PROJEKATA'!$I$3:$I$586,'ANALITIKA EU PROJEKATA'!$A$3:$A$586,"=12",'ANALITIKA EU PROJEKATA'!$L$3:$L$586,"=45")</f>
        <v>0</v>
      </c>
      <c r="G105" s="138">
        <f>SUMIFS('Plan rashoda za unos u SAP'!$K$3:$K$525,'Plan rashoda za unos u SAP'!$C$3:$C$525,"=31",'Plan rashoda za unos u SAP'!$N$3:$N$525,"=45")+SUMIFS('ANALITIKA EU PROJEKATA'!$I$3:$I$586,'ANALITIKA EU PROJEKATA'!$A$3:$A$586,"=31",'ANALITIKA EU PROJEKATA'!$L$3:$L$586,"=45")</f>
        <v>762078</v>
      </c>
      <c r="H105" s="138">
        <f>SUMIFS('Plan rashoda za unos u SAP'!$K$3:$K$525,'Plan rashoda za unos u SAP'!$C$3:$C$525,"=41",'Plan rashoda za unos u SAP'!$N$3:$N$525,"=45")+SUMIFS('ANALITIKA EU PROJEKATA'!$I$3:$I$586,'ANALITIKA EU PROJEKATA'!$A$3:$A$586,"=41",'ANALITIKA EU PROJEKATA'!$L$3:$L$586,"=45")</f>
        <v>0</v>
      </c>
      <c r="I105" s="138">
        <f>SUMIFS('Plan rashoda za unos u SAP'!$K$3:$K$525,'Plan rashoda za unos u SAP'!$C$3:$C$525,"=43",'Plan rashoda za unos u SAP'!$N$3:$N$525,"=45")+SUMIFS('ANALITIKA EU PROJEKATA'!$I$3:$I$586,'ANALITIKA EU PROJEKATA'!$A$3:$A$586,"=43",'ANALITIKA EU PROJEKATA'!$L$3:$L$586,"=45")</f>
        <v>0</v>
      </c>
      <c r="J105" s="138">
        <f>SUMIFS('Plan rashoda za unos u SAP'!$K$3:$K$525,'Plan rashoda za unos u SAP'!$C$3:$C$525,"=51",'Plan rashoda za unos u SAP'!$N$3:$N$525,"=45")+SUMIFS('ANALITIKA EU PROJEKATA'!$I$3:$I$586,'ANALITIKA EU PROJEKATA'!$A$3:$A$586,"=51",'ANALITIKA EU PROJEKATA'!$L$3:$L$586,"=45")</f>
        <v>0</v>
      </c>
      <c r="K105" s="138">
        <f>SUMIFS('Plan rashoda za unos u SAP'!$K$3:$K$525,'Plan rashoda za unos u SAP'!$C$3:$C$525,"=52",'Plan rashoda za unos u SAP'!$N$3:$N$525,"=45")+SUMIFS('ANALITIKA EU PROJEKATA'!$I$3:$I$586,'ANALITIKA EU PROJEKATA'!$A$3:$A$586,"=52",'ANALITIKA EU PROJEKATA'!$L$3:$L$586,"=45")</f>
        <v>16475972</v>
      </c>
      <c r="L105" s="138">
        <f>SUMIFS('Plan rashoda za unos u SAP'!$K$3:$K$525,'Plan rashoda za unos u SAP'!$C$3:$C$525,"=552",'Plan rashoda za unos u SAP'!$N$3:$N$525,"=45")+SUMIFS('ANALITIKA EU PROJEKATA'!$I$3:$I$586,'ANALITIKA EU PROJEKATA'!$A$3:$A$586,"=552",'ANALITIKA EU PROJEKATA'!$L$3:$L$586,"=45")</f>
        <v>0</v>
      </c>
      <c r="M105" s="138">
        <f>SUMIFS('Plan rashoda za unos u SAP'!$K$3:$K$525,'Plan rashoda za unos u SAP'!$C$3:$C$525,"=559",'Plan rashoda za unos u SAP'!$N$3:$N$525,"=45")+SUMIFS('ANALITIKA EU PROJEKATA'!$I$3:$I$586,'ANALITIKA EU PROJEKATA'!$A$3:$A$586,"=559",'ANALITIKA EU PROJEKATA'!$L$3:$L$586,"=45")</f>
        <v>0</v>
      </c>
      <c r="N105" s="138">
        <f>SUMIFS('Plan rashoda za unos u SAP'!$K$3:$K$525,'Plan rashoda za unos u SAP'!$C$3:$C$525,"=561",'Plan rashoda za unos u SAP'!$N$3:$N$525,"=45")+SUMIFS('ANALITIKA EU PROJEKATA'!$I$3:$I$586,'ANALITIKA EU PROJEKATA'!$A$3:$A$586,"=561",'ANALITIKA EU PROJEKATA'!$L$3:$L$586,"=45")</f>
        <v>0</v>
      </c>
      <c r="O105" s="138">
        <f>SUMIFS('Plan rashoda za unos u SAP'!$K$3:$K$525,'Plan rashoda za unos u SAP'!$C$3:$C$525,"=563",'Plan rashoda za unos u SAP'!$N$3:$N$525,"=45")+SUMIFS('ANALITIKA EU PROJEKATA'!$I$3:$I$586,'ANALITIKA EU PROJEKATA'!$A$3:$A$586,"=563",'ANALITIKA EU PROJEKATA'!$L$3:$L$586,"=45")</f>
        <v>0</v>
      </c>
      <c r="P105" s="138">
        <f>SUMIFS('Plan rashoda za unos u SAP'!$K$3:$K$525,'Plan rashoda za unos u SAP'!$C$3:$C$525,"=573",'Plan rashoda za unos u SAP'!$N$3:$N$525,"=45")+SUMIFS('ANALITIKA EU PROJEKATA'!$I$3:$I$586,'ANALITIKA EU PROJEKATA'!$A$3:$A$586,"=573",'ANALITIKA EU PROJEKATA'!$L$3:$L$586,"=45")</f>
        <v>0</v>
      </c>
      <c r="Q105" s="138">
        <f>SUMIFS('Plan rashoda za unos u SAP'!$K$3:$K$525,'Plan rashoda za unos u SAP'!$C$3:$C$525,"=575",'Plan rashoda za unos u SAP'!$N$3:$N$525,"=45")+SUMIFS('ANALITIKA EU PROJEKATA'!$I$3:$I$586,'ANALITIKA EU PROJEKATA'!$A$3:$A$586,"=575",'ANALITIKA EU PROJEKATA'!$L$3:$L$586,"=45")</f>
        <v>0</v>
      </c>
      <c r="R105" s="138">
        <f>SUMIFS('Plan rashoda za unos u SAP'!$K$3:$K$525,'Plan rashoda za unos u SAP'!$C$3:$C$525,"=576",'Plan rashoda za unos u SAP'!$N$3:$N$525,"=45")+SUMIFS('ANALITIKA EU PROJEKATA'!$I$3:$I$586,'ANALITIKA EU PROJEKATA'!$A$3:$A$586,"=576",'ANALITIKA EU PROJEKATA'!$L$3:$L$586,"=45")</f>
        <v>0</v>
      </c>
      <c r="S105" s="138">
        <f>SUMIFS('Plan rashoda za unos u SAP'!$K$3:$K$525,'Plan rashoda za unos u SAP'!$C$3:$C$525,"=581",'Plan rashoda za unos u SAP'!$N$3:$N$525,"=45")+SUMIFS('ANALITIKA EU PROJEKATA'!$I$3:$I$586,'ANALITIKA EU PROJEKATA'!$A$3:$A$586,"=581",'ANALITIKA EU PROJEKATA'!$L$3:$L$586,"=45")</f>
        <v>0</v>
      </c>
      <c r="T105" s="138">
        <f>SUMIFS('Plan rashoda za unos u SAP'!$K$3:$K$525,'Plan rashoda za unos u SAP'!$C$3:$C$525,"=61",'Plan rashoda za unos u SAP'!$N$3:$N$525,"=45")+SUMIFS('ANALITIKA EU PROJEKATA'!$I$3:$I$586,'ANALITIKA EU PROJEKATA'!$A$3:$A$586,"=61",'ANALITIKA EU PROJEKATA'!$L$3:$L$586,"=45")</f>
        <v>0</v>
      </c>
      <c r="U105" s="138">
        <f>SUMIFS('Plan rashoda za unos u SAP'!$K$3:$K$525,'Plan rashoda za unos u SAP'!$C$3:$C$525,"=63",'Plan rashoda za unos u SAP'!$N$3:$N$525,"=45")+SUMIFS('ANALITIKA EU PROJEKATA'!$I$3:$I$586,'ANALITIKA EU PROJEKATA'!$A$3:$A$586,"=63",'ANALITIKA EU PROJEKATA'!$L$3:$L$586,"=45")</f>
        <v>0</v>
      </c>
      <c r="V105" s="138">
        <f>SUMIFS('Plan rashoda za unos u SAP'!$K$3:$K$525,'Plan rashoda za unos u SAP'!$C$3:$C$525,"=71",'Plan rashoda za unos u SAP'!$N$3:$N$525,"=45")+SUMIFS('ANALITIKA EU PROJEKATA'!$I$3:$I$586,'ANALITIKA EU PROJEKATA'!$A$3:$A$586,"=71",'ANALITIKA EU PROJEKATA'!$L$3:$L$586,"=45")</f>
        <v>0</v>
      </c>
      <c r="W105" s="138">
        <f>SUMIFS('Plan rashoda za unos u SAP'!$K$3:$K$525,'Plan rashoda za unos u SAP'!$C$3:$C$525,"=81",'Plan rashoda za unos u SAP'!$N$3:$N$525,"=45")+SUMIFS('ANALITIKA EU PROJEKATA'!$I$3:$I$586,'ANALITIKA EU PROJEKATA'!$A$3:$A$586,"=81",'ANALITIKA EU PROJEKATA'!$L$3:$L$586,"=45")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346</v>
      </c>
      <c r="D107" s="78">
        <f t="shared" si="27"/>
        <v>0</v>
      </c>
      <c r="E107" s="138">
        <f>SUMIFS('Plan rashoda za unos u SAP'!$K$3:$K$525,'Plan rashoda za unos u SAP'!$C$3:$C$525,"=11",'Plan rashoda za unos u SAP'!$N$3:$N$525,"=51")+SUMIFS('ANALITIKA EU PROJEKATA'!$I$3:$I$586,'ANALITIKA EU PROJEKATA'!$A$3:$A$586,"=11",'ANALITIKA EU PROJEKATA'!$L$3:$L$586,"=51")</f>
        <v>0</v>
      </c>
      <c r="F107" s="138">
        <f>SUMIFS('Plan rashoda za unos u SAP'!$K$3:$K$525,'Plan rashoda za unos u SAP'!$C$3:$C$525,"=12",'Plan rashoda za unos u SAP'!$N$3:$N$525,"=51")+SUMIFS('ANALITIKA EU PROJEKATA'!$I$3:$I$586,'ANALITIKA EU PROJEKATA'!$A$3:$A$586,"=12",'ANALITIKA EU PROJEKATA'!$L$3:$L$586,"=51")</f>
        <v>0</v>
      </c>
      <c r="G107" s="138">
        <f>SUMIFS('Plan rashoda za unos u SAP'!$K$3:$K$525,'Plan rashoda za unos u SAP'!$C$3:$C$525,"=31",'Plan rashoda za unos u SAP'!$N$3:$N$525,"=51")+SUMIFS('ANALITIKA EU PROJEKATA'!$I$3:$I$586,'ANALITIKA EU PROJEKATA'!$A$3:$A$586,"=31",'ANALITIKA EU PROJEKATA'!$L$3:$L$586,"=51")</f>
        <v>0</v>
      </c>
      <c r="H107" s="138">
        <f>SUMIFS('Plan rashoda za unos u SAP'!$K$3:$K$525,'Plan rashoda za unos u SAP'!$C$3:$C$525,"=41",'Plan rashoda za unos u SAP'!$N$3:$N$525,"=51")+SUMIFS('ANALITIKA EU PROJEKATA'!$I$3:$I$586,'ANALITIKA EU PROJEKATA'!$A$3:$A$586,"=41",'ANALITIKA EU PROJEKATA'!$L$3:$L$586,"=51")</f>
        <v>0</v>
      </c>
      <c r="I107" s="138">
        <f>SUMIFS('Plan rashoda za unos u SAP'!$K$3:$K$525,'Plan rashoda za unos u SAP'!$C$3:$C$525,"=43",'Plan rashoda za unos u SAP'!$N$3:$N$525,"=51")+SUMIFS('ANALITIKA EU PROJEKATA'!$I$3:$I$586,'ANALITIKA EU PROJEKATA'!$A$3:$A$586,"=43",'ANALITIKA EU PROJEKATA'!$L$3:$L$586,"=51")</f>
        <v>0</v>
      </c>
      <c r="J107" s="138">
        <f>SUMIFS('Plan rashoda za unos u SAP'!$K$3:$K$525,'Plan rashoda za unos u SAP'!$C$3:$C$525,"=51",'Plan rashoda za unos u SAP'!$N$3:$N$525,"=51")+SUMIFS('ANALITIKA EU PROJEKATA'!$I$3:$I$586,'ANALITIKA EU PROJEKATA'!$A$3:$A$586,"=51",'ANALITIKA EU PROJEKATA'!$L$3:$L$586,"=51")</f>
        <v>0</v>
      </c>
      <c r="K107" s="138">
        <f>SUMIFS('Plan rashoda za unos u SAP'!$K$3:$K$525,'Plan rashoda za unos u SAP'!$C$3:$C$525,"=52",'Plan rashoda za unos u SAP'!$N$3:$N$525,"=51")+SUMIFS('ANALITIKA EU PROJEKATA'!$I$3:$I$586,'ANALITIKA EU PROJEKATA'!$A$3:$A$586,"=52",'ANALITIKA EU PROJEKATA'!$L$3:$L$586,"=51")</f>
        <v>0</v>
      </c>
      <c r="L107" s="138">
        <f>SUMIFS('Plan rashoda za unos u SAP'!$K$3:$K$525,'Plan rashoda za unos u SAP'!$C$3:$C$525,"=552",'Plan rashoda za unos u SAP'!$N$3:$N$525,"=51")+SUMIFS('ANALITIKA EU PROJEKATA'!$I$3:$I$586,'ANALITIKA EU PROJEKATA'!$A$3:$A$586,"=552",'ANALITIKA EU PROJEKATA'!$L$3:$L$586,"=51")</f>
        <v>0</v>
      </c>
      <c r="M107" s="138">
        <f>SUMIFS('Plan rashoda za unos u SAP'!$K$3:$K$525,'Plan rashoda za unos u SAP'!$C$3:$C$525,"=559",'Plan rashoda za unos u SAP'!$N$3:$N$525,"=51")+SUMIFS('ANALITIKA EU PROJEKATA'!$I$3:$I$586,'ANALITIKA EU PROJEKATA'!$A$3:$A$586,"=559",'ANALITIKA EU PROJEKATA'!$L$3:$L$586,"=51")</f>
        <v>0</v>
      </c>
      <c r="N107" s="138">
        <f>SUMIFS('Plan rashoda za unos u SAP'!$K$3:$K$525,'Plan rashoda za unos u SAP'!$C$3:$C$525,"=561",'Plan rashoda za unos u SAP'!$N$3:$N$525,"=51")+SUMIFS('ANALITIKA EU PROJEKATA'!$I$3:$I$586,'ANALITIKA EU PROJEKATA'!$A$3:$A$586,"=561",'ANALITIKA EU PROJEKATA'!$L$3:$L$586,"=51")</f>
        <v>0</v>
      </c>
      <c r="O107" s="138">
        <f>SUMIFS('Plan rashoda za unos u SAP'!$K$3:$K$525,'Plan rashoda za unos u SAP'!$C$3:$C$525,"=563",'Plan rashoda za unos u SAP'!$N$3:$N$525,"=51")+SUMIFS('ANALITIKA EU PROJEKATA'!$I$3:$I$586,'ANALITIKA EU PROJEKATA'!$A$3:$A$586,"=563",'ANALITIKA EU PROJEKATA'!$L$3:$L$586,"=51")</f>
        <v>0</v>
      </c>
      <c r="P107" s="138">
        <f>SUMIFS('Plan rashoda za unos u SAP'!$K$3:$K$525,'Plan rashoda za unos u SAP'!$C$3:$C$525,"=573",'Plan rashoda za unos u SAP'!$N$3:$N$525,"=51")+SUMIFS('ANALITIKA EU PROJEKATA'!$I$3:$I$586,'ANALITIKA EU PROJEKATA'!$A$3:$A$586,"=573",'ANALITIKA EU PROJEKATA'!$L$3:$L$586,"=51")</f>
        <v>0</v>
      </c>
      <c r="Q107" s="138">
        <f>SUMIFS('Plan rashoda za unos u SAP'!$K$3:$K$525,'Plan rashoda za unos u SAP'!$C$3:$C$525,"=575",'Plan rashoda za unos u SAP'!$N$3:$N$525,"=51")+SUMIFS('ANALITIKA EU PROJEKATA'!$I$3:$I$586,'ANALITIKA EU PROJEKATA'!$A$3:$A$586,"=575",'ANALITIKA EU PROJEKATA'!$L$3:$L$586,"=51")</f>
        <v>0</v>
      </c>
      <c r="R107" s="138">
        <f>SUMIFS('Plan rashoda za unos u SAP'!$K$3:$K$525,'Plan rashoda za unos u SAP'!$C$3:$C$525,"=576",'Plan rashoda za unos u SAP'!$N$3:$N$525,"=51")+SUMIFS('ANALITIKA EU PROJEKATA'!$I$3:$I$586,'ANALITIKA EU PROJEKATA'!$A$3:$A$586,"=576",'ANALITIKA EU PROJEKATA'!$L$3:$L$586,"=51")</f>
        <v>0</v>
      </c>
      <c r="S107" s="138">
        <f>SUMIFS('Plan rashoda za unos u SAP'!$K$3:$K$525,'Plan rashoda za unos u SAP'!$C$3:$C$525,"=581",'Plan rashoda za unos u SAP'!$N$3:$N$525,"=51")+SUMIFS('ANALITIKA EU PROJEKATA'!$I$3:$I$586,'ANALITIKA EU PROJEKATA'!$A$3:$A$586,"=581",'ANALITIKA EU PROJEKATA'!$L$3:$L$586,"=51")</f>
        <v>0</v>
      </c>
      <c r="T107" s="138">
        <f>SUMIFS('Plan rashoda za unos u SAP'!$K$3:$K$525,'Plan rashoda za unos u SAP'!$C$3:$C$525,"=61",'Plan rashoda za unos u SAP'!$N$3:$N$525,"=51")+SUMIFS('ANALITIKA EU PROJEKATA'!$I$3:$I$586,'ANALITIKA EU PROJEKATA'!$A$3:$A$586,"=61",'ANALITIKA EU PROJEKATA'!$L$3:$L$586,"=51")</f>
        <v>0</v>
      </c>
      <c r="U107" s="138">
        <f>SUMIFS('Plan rashoda za unos u SAP'!$K$3:$K$525,'Plan rashoda za unos u SAP'!$C$3:$C$525,"=63",'Plan rashoda za unos u SAP'!$N$3:$N$525,"=51")+SUMIFS('ANALITIKA EU PROJEKATA'!$I$3:$I$586,'ANALITIKA EU PROJEKATA'!$A$3:$A$586,"=63",'ANALITIKA EU PROJEKATA'!$L$3:$L$586,"=51")</f>
        <v>0</v>
      </c>
      <c r="V107" s="138">
        <f>SUMIFS('Plan rashoda za unos u SAP'!$K$3:$K$525,'Plan rashoda za unos u SAP'!$C$3:$C$525,"=71",'Plan rashoda za unos u SAP'!$N$3:$N$525,"=51")+SUMIFS('ANALITIKA EU PROJEKATA'!$I$3:$I$586,'ANALITIKA EU PROJEKATA'!$A$3:$A$586,"=71",'ANALITIKA EU PROJEKATA'!$L$3:$L$586,"=51")</f>
        <v>0</v>
      </c>
      <c r="W107" s="138">
        <f>SUMIFS('Plan rashoda za unos u SAP'!$K$3:$K$525,'Plan rashoda za unos u SAP'!$C$3:$C$525,"=81",'Plan rashoda za unos u SAP'!$N$3:$N$525,"=51")+SUMIFS('ANALITIKA EU PROJEKATA'!$I$3:$I$586,'ANALITIKA EU PROJEKATA'!$A$3:$A$586,"=81",'ANALITIKA EU PROJEKATA'!$L$3:$L$586,"=51")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347</v>
      </c>
      <c r="D108" s="78">
        <f t="shared" si="27"/>
        <v>0</v>
      </c>
      <c r="E108" s="138">
        <f>SUMIFS('Plan rashoda za unos u SAP'!$K$3:$K$525,'Plan rashoda za unos u SAP'!$C$3:$C$525,"=11",'Plan rashoda za unos u SAP'!$N$3:$N$525,"=54")+SUMIFS('ANALITIKA EU PROJEKATA'!$I$3:$I$586,'ANALITIKA EU PROJEKATA'!$A$3:$A$586,"=11",'ANALITIKA EU PROJEKATA'!$L$3:$L$586,"=54")</f>
        <v>0</v>
      </c>
      <c r="F108" s="138">
        <f>SUMIFS('Plan rashoda za unos u SAP'!$K$3:$K$525,'Plan rashoda za unos u SAP'!$C$3:$C$525,"=12",'Plan rashoda za unos u SAP'!$N$3:$N$525,"=54")+SUMIFS('ANALITIKA EU PROJEKATA'!$I$3:$I$586,'ANALITIKA EU PROJEKATA'!$A$3:$A$586,"=12",'ANALITIKA EU PROJEKATA'!$L$3:$L$586,"=54")</f>
        <v>0</v>
      </c>
      <c r="G108" s="138">
        <f>SUMIFS('Plan rashoda za unos u SAP'!$K$3:$K$525,'Plan rashoda za unos u SAP'!$C$3:$C$525,"=31",'Plan rashoda za unos u SAP'!$N$3:$N$525,"=54")+SUMIFS('ANALITIKA EU PROJEKATA'!$I$3:$I$586,'ANALITIKA EU PROJEKATA'!$A$3:$A$586,"=31",'ANALITIKA EU PROJEKATA'!$L$3:$L$586,"=54")</f>
        <v>0</v>
      </c>
      <c r="H108" s="138">
        <f>SUMIFS('Plan rashoda za unos u SAP'!$K$3:$K$525,'Plan rashoda za unos u SAP'!$C$3:$C$525,"=41",'Plan rashoda za unos u SAP'!$N$3:$N$525,"=54")+SUMIFS('ANALITIKA EU PROJEKATA'!$I$3:$I$586,'ANALITIKA EU PROJEKATA'!$A$3:$A$586,"=41",'ANALITIKA EU PROJEKATA'!$L$3:$L$586,"=54")</f>
        <v>0</v>
      </c>
      <c r="I108" s="138">
        <f>SUMIFS('Plan rashoda za unos u SAP'!$K$3:$K$525,'Plan rashoda za unos u SAP'!$C$3:$C$525,"=43",'Plan rashoda za unos u SAP'!$N$3:$N$525,"=54")+SUMIFS('ANALITIKA EU PROJEKATA'!$I$3:$I$586,'ANALITIKA EU PROJEKATA'!$A$3:$A$586,"=43",'ANALITIKA EU PROJEKATA'!$L$3:$L$586,"=54")</f>
        <v>0</v>
      </c>
      <c r="J108" s="138">
        <f>SUMIFS('Plan rashoda za unos u SAP'!$K$3:$K$525,'Plan rashoda za unos u SAP'!$C$3:$C$525,"=51",'Plan rashoda za unos u SAP'!$N$3:$N$525,"=54")+SUMIFS('ANALITIKA EU PROJEKATA'!$I$3:$I$586,'ANALITIKA EU PROJEKATA'!$A$3:$A$586,"=51",'ANALITIKA EU PROJEKATA'!$L$3:$L$586,"=54")</f>
        <v>0</v>
      </c>
      <c r="K108" s="138">
        <f>SUMIFS('Plan rashoda za unos u SAP'!$K$3:$K$525,'Plan rashoda za unos u SAP'!$C$3:$C$525,"=52",'Plan rashoda za unos u SAP'!$N$3:$N$525,"=54")+SUMIFS('ANALITIKA EU PROJEKATA'!$I$3:$I$586,'ANALITIKA EU PROJEKATA'!$A$3:$A$586,"=52",'ANALITIKA EU PROJEKATA'!$L$3:$L$586,"=54")</f>
        <v>0</v>
      </c>
      <c r="L108" s="138">
        <f>SUMIFS('Plan rashoda za unos u SAP'!$K$3:$K$525,'Plan rashoda za unos u SAP'!$C$3:$C$525,"=552",'Plan rashoda za unos u SAP'!$N$3:$N$525,"=54")+SUMIFS('ANALITIKA EU PROJEKATA'!$I$3:$I$586,'ANALITIKA EU PROJEKATA'!$A$3:$A$586,"=552",'ANALITIKA EU PROJEKATA'!$L$3:$L$586,"=54")</f>
        <v>0</v>
      </c>
      <c r="M108" s="138">
        <f>SUMIFS('Plan rashoda za unos u SAP'!$K$3:$K$525,'Plan rashoda za unos u SAP'!$C$3:$C$525,"=559",'Plan rashoda za unos u SAP'!$N$3:$N$525,"=54")+SUMIFS('ANALITIKA EU PROJEKATA'!$I$3:$I$586,'ANALITIKA EU PROJEKATA'!$A$3:$A$586,"=559",'ANALITIKA EU PROJEKATA'!$L$3:$L$586,"=54")</f>
        <v>0</v>
      </c>
      <c r="N108" s="138">
        <f>SUMIFS('Plan rashoda za unos u SAP'!$K$3:$K$525,'Plan rashoda za unos u SAP'!$C$3:$C$525,"=561",'Plan rashoda za unos u SAP'!$N$3:$N$525,"=54")+SUMIFS('ANALITIKA EU PROJEKATA'!$I$3:$I$586,'ANALITIKA EU PROJEKATA'!$A$3:$A$586,"=561",'ANALITIKA EU PROJEKATA'!$L$3:$L$586,"=54")</f>
        <v>0</v>
      </c>
      <c r="O108" s="138">
        <f>SUMIFS('Plan rashoda za unos u SAP'!$K$3:$K$525,'Plan rashoda za unos u SAP'!$C$3:$C$525,"=563",'Plan rashoda za unos u SAP'!$N$3:$N$525,"=54")+SUMIFS('ANALITIKA EU PROJEKATA'!$I$3:$I$586,'ANALITIKA EU PROJEKATA'!$A$3:$A$586,"=563",'ANALITIKA EU PROJEKATA'!$L$3:$L$586,"=54")</f>
        <v>0</v>
      </c>
      <c r="P108" s="138">
        <f>SUMIFS('Plan rashoda za unos u SAP'!$K$3:$K$525,'Plan rashoda za unos u SAP'!$C$3:$C$525,"=573",'Plan rashoda za unos u SAP'!$N$3:$N$525,"=54")+SUMIFS('ANALITIKA EU PROJEKATA'!$I$3:$I$586,'ANALITIKA EU PROJEKATA'!$A$3:$A$586,"=573",'ANALITIKA EU PROJEKATA'!$L$3:$L$586,"=54")</f>
        <v>0</v>
      </c>
      <c r="Q108" s="138">
        <f>SUMIFS('Plan rashoda za unos u SAP'!$K$3:$K$525,'Plan rashoda za unos u SAP'!$C$3:$C$525,"=575",'Plan rashoda za unos u SAP'!$N$3:$N$525,"=54")+SUMIFS('ANALITIKA EU PROJEKATA'!$I$3:$I$586,'ANALITIKA EU PROJEKATA'!$A$3:$A$586,"=575",'ANALITIKA EU PROJEKATA'!$L$3:$L$586,"=54")</f>
        <v>0</v>
      </c>
      <c r="R108" s="138">
        <f>SUMIFS('Plan rashoda za unos u SAP'!$K$3:$K$525,'Plan rashoda za unos u SAP'!$C$3:$C$525,"=576",'Plan rashoda za unos u SAP'!$N$3:$N$525,"=54")+SUMIFS('ANALITIKA EU PROJEKATA'!$I$3:$I$586,'ANALITIKA EU PROJEKATA'!$A$3:$A$586,"=576",'ANALITIKA EU PROJEKATA'!$L$3:$L$586,"=54")</f>
        <v>0</v>
      </c>
      <c r="S108" s="138">
        <f>SUMIFS('Plan rashoda za unos u SAP'!$K$3:$K$525,'Plan rashoda za unos u SAP'!$C$3:$C$525,"=581",'Plan rashoda za unos u SAP'!$N$3:$N$525,"=54")+SUMIFS('ANALITIKA EU PROJEKATA'!$I$3:$I$586,'ANALITIKA EU PROJEKATA'!$A$3:$A$586,"=581",'ANALITIKA EU PROJEKATA'!$L$3:$L$586,"=54")</f>
        <v>0</v>
      </c>
      <c r="T108" s="138">
        <f>SUMIFS('Plan rashoda za unos u SAP'!$K$3:$K$525,'Plan rashoda za unos u SAP'!$C$3:$C$525,"=61",'Plan rashoda za unos u SAP'!$N$3:$N$525,"=54")+SUMIFS('ANALITIKA EU PROJEKATA'!$I$3:$I$586,'ANALITIKA EU PROJEKATA'!$A$3:$A$586,"=61",'ANALITIKA EU PROJEKATA'!$L$3:$L$586,"=54")</f>
        <v>0</v>
      </c>
      <c r="U108" s="138">
        <f>SUMIFS('Plan rashoda za unos u SAP'!$K$3:$K$525,'Plan rashoda za unos u SAP'!$C$3:$C$525,"=63",'Plan rashoda za unos u SAP'!$N$3:$N$525,"=54")+SUMIFS('ANALITIKA EU PROJEKATA'!$I$3:$I$586,'ANALITIKA EU PROJEKATA'!$A$3:$A$586,"=63",'ANALITIKA EU PROJEKATA'!$L$3:$L$586,"=54")</f>
        <v>0</v>
      </c>
      <c r="V108" s="138">
        <f>SUMIFS('Plan rashoda za unos u SAP'!$K$3:$K$525,'Plan rashoda za unos u SAP'!$C$3:$C$525,"=71",'Plan rashoda za unos u SAP'!$N$3:$N$525,"=54")+SUMIFS('ANALITIKA EU PROJEKATA'!$I$3:$I$586,'ANALITIKA EU PROJEKATA'!$A$3:$A$586,"=71",'ANALITIKA EU PROJEKATA'!$L$3:$L$586,"=54")</f>
        <v>0</v>
      </c>
      <c r="W108" s="138">
        <f>SUMIFS('Plan rashoda za unos u SAP'!$K$3:$K$525,'Plan rashoda za unos u SAP'!$C$3:$C$525,"=81",'Plan rashoda za unos u SAP'!$N$3:$N$525,"=54")+SUMIFS('ANALITIKA EU PROJEKATA'!$I$3:$I$586,'ANALITIKA EU PROJEKATA'!$A$3:$A$586,"=81",'ANALITIKA EU PROJEKATA'!$L$3:$L$586,"=54")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3475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3476</v>
      </c>
      <c r="B8" s="26"/>
    </row>
    <row r="9" spans="1:8" ht="15.75" thickBot="1"/>
    <row r="10" spans="1:8" ht="15" customHeight="1">
      <c r="A10" s="283" t="s">
        <v>221</v>
      </c>
      <c r="B10" s="285" t="s">
        <v>222</v>
      </c>
      <c r="C10" s="285" t="s">
        <v>223</v>
      </c>
      <c r="D10" s="288" t="s">
        <v>224</v>
      </c>
      <c r="E10" s="281" t="s">
        <v>3477</v>
      </c>
      <c r="F10" s="281" t="s">
        <v>763</v>
      </c>
      <c r="G10" s="281" t="s">
        <v>1905</v>
      </c>
      <c r="H10" s="281" t="s">
        <v>3478</v>
      </c>
    </row>
    <row r="11" spans="1:8" ht="15.75" thickBot="1">
      <c r="A11" s="284"/>
      <c r="B11" s="286"/>
      <c r="C11" s="287"/>
      <c r="D11" s="289"/>
      <c r="E11" s="290"/>
      <c r="F11" s="282"/>
      <c r="G11" s="282"/>
      <c r="H11" s="282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0" customWidth="1"/>
    <col min="2" max="2" width="113.5703125" style="200" customWidth="1"/>
  </cols>
  <sheetData>
    <row r="1" spans="1:2">
      <c r="A1" s="241" t="s">
        <v>1050</v>
      </c>
      <c r="B1" s="240" t="s">
        <v>586</v>
      </c>
    </row>
    <row r="2" spans="1:2" s="200" customFormat="1">
      <c r="A2" s="199" t="s">
        <v>1060</v>
      </c>
      <c r="B2" s="209" t="s">
        <v>1061</v>
      </c>
    </row>
    <row r="3" spans="1:2">
      <c r="A3" s="241" t="s">
        <v>1058</v>
      </c>
      <c r="B3" s="240" t="s">
        <v>1059</v>
      </c>
    </row>
    <row r="4" spans="1:2" s="200" customFormat="1" ht="32.25" customHeight="1">
      <c r="A4" s="243" t="s">
        <v>1989</v>
      </c>
      <c r="B4" s="242" t="s">
        <v>1990</v>
      </c>
    </row>
    <row r="5" spans="1:2" s="200" customFormat="1">
      <c r="A5" s="243" t="s">
        <v>1991</v>
      </c>
      <c r="B5" s="242" t="s">
        <v>1992</v>
      </c>
    </row>
    <row r="6" spans="1:2" s="200" customFormat="1">
      <c r="A6" s="243" t="s">
        <v>1993</v>
      </c>
      <c r="B6" s="242" t="s">
        <v>1994</v>
      </c>
    </row>
    <row r="7" spans="1:2" s="200" customFormat="1">
      <c r="A7" s="243" t="s">
        <v>1812</v>
      </c>
      <c r="B7" s="242" t="s">
        <v>1813</v>
      </c>
    </row>
    <row r="8" spans="1:2" s="200" customFormat="1">
      <c r="A8" s="243" t="s">
        <v>1814</v>
      </c>
      <c r="B8" s="242" t="s">
        <v>1815</v>
      </c>
    </row>
    <row r="9" spans="1:2" s="200" customFormat="1">
      <c r="A9" s="243" t="s">
        <v>1995</v>
      </c>
      <c r="B9" s="242" t="s">
        <v>1996</v>
      </c>
    </row>
    <row r="10" spans="1:2" s="200" customFormat="1">
      <c r="A10" s="243" t="s">
        <v>1997</v>
      </c>
      <c r="B10" s="242" t="s">
        <v>1998</v>
      </c>
    </row>
    <row r="11" spans="1:2" s="200" customFormat="1">
      <c r="A11" s="243" t="s">
        <v>1999</v>
      </c>
      <c r="B11" s="242" t="s">
        <v>2000</v>
      </c>
    </row>
    <row r="12" spans="1:2" s="200" customFormat="1">
      <c r="A12" s="243" t="s">
        <v>1062</v>
      </c>
      <c r="B12" s="242" t="s">
        <v>1063</v>
      </c>
    </row>
    <row r="13" spans="1:2" s="200" customFormat="1">
      <c r="A13" s="243" t="s">
        <v>1816</v>
      </c>
      <c r="B13" s="242" t="s">
        <v>1817</v>
      </c>
    </row>
    <row r="14" spans="1:2" s="200" customFormat="1">
      <c r="A14" s="243" t="s">
        <v>1064</v>
      </c>
      <c r="B14" s="242" t="s">
        <v>1065</v>
      </c>
    </row>
    <row r="15" spans="1:2" s="200" customFormat="1">
      <c r="A15" s="243" t="s">
        <v>2001</v>
      </c>
      <c r="B15" s="242" t="s">
        <v>2002</v>
      </c>
    </row>
    <row r="16" spans="1:2" s="200" customFormat="1">
      <c r="A16" s="243" t="s">
        <v>1818</v>
      </c>
      <c r="B16" s="242" t="s">
        <v>1819</v>
      </c>
    </row>
    <row r="17" spans="1:2" s="200" customFormat="1">
      <c r="A17" s="243" t="s">
        <v>2003</v>
      </c>
      <c r="B17" s="242" t="s">
        <v>2004</v>
      </c>
    </row>
    <row r="18" spans="1:2" s="200" customFormat="1">
      <c r="A18" s="243" t="s">
        <v>2005</v>
      </c>
      <c r="B18" s="242" t="s">
        <v>2006</v>
      </c>
    </row>
    <row r="19" spans="1:2" s="200" customFormat="1">
      <c r="A19" s="243" t="s">
        <v>2007</v>
      </c>
      <c r="B19" s="242" t="s">
        <v>2008</v>
      </c>
    </row>
    <row r="20" spans="1:2" s="200" customFormat="1">
      <c r="A20" s="243" t="s">
        <v>2009</v>
      </c>
      <c r="B20" s="242" t="s">
        <v>2010</v>
      </c>
    </row>
    <row r="21" spans="1:2" s="200" customFormat="1">
      <c r="A21" s="243" t="s">
        <v>2011</v>
      </c>
      <c r="B21" s="242" t="s">
        <v>2012</v>
      </c>
    </row>
    <row r="22" spans="1:2" s="200" customFormat="1">
      <c r="A22" s="243" t="s">
        <v>2013</v>
      </c>
      <c r="B22" s="242" t="s">
        <v>2014</v>
      </c>
    </row>
    <row r="23" spans="1:2" s="200" customFormat="1">
      <c r="A23" s="243" t="s">
        <v>2015</v>
      </c>
      <c r="B23" s="242" t="s">
        <v>2016</v>
      </c>
    </row>
    <row r="24" spans="1:2" s="200" customFormat="1">
      <c r="A24" s="243" t="s">
        <v>1066</v>
      </c>
      <c r="B24" s="242" t="s">
        <v>1067</v>
      </c>
    </row>
    <row r="25" spans="1:2" s="200" customFormat="1">
      <c r="A25" s="243" t="s">
        <v>2017</v>
      </c>
      <c r="B25" s="242" t="s">
        <v>2018</v>
      </c>
    </row>
    <row r="26" spans="1:2" s="200" customFormat="1">
      <c r="A26" s="243" t="s">
        <v>2019</v>
      </c>
      <c r="B26" s="242" t="s">
        <v>2020</v>
      </c>
    </row>
    <row r="27" spans="1:2" s="200" customFormat="1">
      <c r="A27" s="243" t="s">
        <v>2021</v>
      </c>
      <c r="B27" s="242" t="s">
        <v>2022</v>
      </c>
    </row>
    <row r="28" spans="1:2" s="200" customFormat="1">
      <c r="A28" s="243" t="s">
        <v>2023</v>
      </c>
      <c r="B28" s="242" t="s">
        <v>2024</v>
      </c>
    </row>
    <row r="29" spans="1:2" s="200" customFormat="1">
      <c r="A29" s="243" t="s">
        <v>2025</v>
      </c>
      <c r="B29" s="242" t="s">
        <v>2026</v>
      </c>
    </row>
    <row r="30" spans="1:2" s="200" customFormat="1">
      <c r="A30" s="243" t="s">
        <v>2027</v>
      </c>
      <c r="B30" s="242" t="s">
        <v>2028</v>
      </c>
    </row>
    <row r="31" spans="1:2" s="200" customFormat="1">
      <c r="A31" s="243" t="s">
        <v>1820</v>
      </c>
      <c r="B31" s="242" t="s">
        <v>1821</v>
      </c>
    </row>
    <row r="32" spans="1:2" s="200" customFormat="1">
      <c r="A32" s="243" t="s">
        <v>1822</v>
      </c>
      <c r="B32" s="242" t="s">
        <v>1823</v>
      </c>
    </row>
    <row r="33" spans="1:2" s="200" customFormat="1" ht="25.5">
      <c r="A33" s="243" t="s">
        <v>2029</v>
      </c>
      <c r="B33" s="242" t="s">
        <v>2030</v>
      </c>
    </row>
    <row r="34" spans="1:2" s="200" customFormat="1">
      <c r="A34" s="243" t="s">
        <v>2031</v>
      </c>
      <c r="B34" s="242" t="s">
        <v>2032</v>
      </c>
    </row>
    <row r="35" spans="1:2" s="200" customFormat="1">
      <c r="A35" s="243" t="s">
        <v>2033</v>
      </c>
      <c r="B35" s="242" t="s">
        <v>2034</v>
      </c>
    </row>
    <row r="36" spans="1:2" s="200" customFormat="1">
      <c r="A36" s="243" t="s">
        <v>2035</v>
      </c>
      <c r="B36" s="242" t="s">
        <v>2036</v>
      </c>
    </row>
    <row r="37" spans="1:2" s="200" customFormat="1">
      <c r="A37" s="243" t="s">
        <v>2037</v>
      </c>
      <c r="B37" s="242" t="s">
        <v>1051</v>
      </c>
    </row>
    <row r="38" spans="1:2" s="200" customFormat="1">
      <c r="A38" s="243" t="s">
        <v>1824</v>
      </c>
      <c r="B38" s="242" t="s">
        <v>1825</v>
      </c>
    </row>
    <row r="39" spans="1:2" s="200" customFormat="1">
      <c r="A39" s="243" t="s">
        <v>2038</v>
      </c>
      <c r="B39" s="242" t="s">
        <v>2039</v>
      </c>
    </row>
    <row r="40" spans="1:2" s="200" customFormat="1">
      <c r="A40" s="243" t="s">
        <v>2040</v>
      </c>
      <c r="B40" s="242" t="s">
        <v>2041</v>
      </c>
    </row>
    <row r="41" spans="1:2" s="200" customFormat="1">
      <c r="A41" s="243" t="s">
        <v>2042</v>
      </c>
      <c r="B41" s="242" t="s">
        <v>2043</v>
      </c>
    </row>
    <row r="42" spans="1:2" s="200" customFormat="1">
      <c r="A42" s="243" t="s">
        <v>2044</v>
      </c>
      <c r="B42" s="242" t="s">
        <v>1051</v>
      </c>
    </row>
    <row r="43" spans="1:2" s="200" customFormat="1">
      <c r="A43" s="243" t="s">
        <v>1826</v>
      </c>
      <c r="B43" s="242" t="s">
        <v>1252</v>
      </c>
    </row>
    <row r="44" spans="1:2" s="200" customFormat="1">
      <c r="A44" s="243" t="s">
        <v>2045</v>
      </c>
      <c r="B44" s="242" t="s">
        <v>2046</v>
      </c>
    </row>
    <row r="45" spans="1:2" s="200" customFormat="1">
      <c r="A45" s="243" t="s">
        <v>1827</v>
      </c>
      <c r="B45" s="242" t="s">
        <v>1828</v>
      </c>
    </row>
    <row r="46" spans="1:2" s="200" customFormat="1">
      <c r="A46" s="243" t="s">
        <v>2047</v>
      </c>
      <c r="B46" s="242" t="s">
        <v>2048</v>
      </c>
    </row>
    <row r="47" spans="1:2" s="200" customFormat="1">
      <c r="A47" s="243" t="s">
        <v>2049</v>
      </c>
      <c r="B47" s="242" t="s">
        <v>2050</v>
      </c>
    </row>
    <row r="48" spans="1:2" s="200" customFormat="1">
      <c r="A48" s="243" t="s">
        <v>2051</v>
      </c>
      <c r="B48" s="242" t="s">
        <v>2052</v>
      </c>
    </row>
    <row r="49" spans="1:2" s="200" customFormat="1">
      <c r="A49" s="243" t="s">
        <v>2053</v>
      </c>
      <c r="B49" s="242" t="s">
        <v>2054</v>
      </c>
    </row>
    <row r="50" spans="1:2" s="200" customFormat="1">
      <c r="A50" s="243" t="s">
        <v>2055</v>
      </c>
      <c r="B50" s="242" t="s">
        <v>2056</v>
      </c>
    </row>
    <row r="51" spans="1:2" s="200" customFormat="1">
      <c r="A51" s="243" t="s">
        <v>2057</v>
      </c>
      <c r="B51" s="242" t="s">
        <v>2058</v>
      </c>
    </row>
    <row r="52" spans="1:2" s="200" customFormat="1">
      <c r="A52" s="243" t="s">
        <v>2059</v>
      </c>
      <c r="B52" s="242" t="s">
        <v>2060</v>
      </c>
    </row>
    <row r="53" spans="1:2" s="200" customFormat="1">
      <c r="A53" s="243" t="s">
        <v>2061</v>
      </c>
      <c r="B53" s="242" t="s">
        <v>2062</v>
      </c>
    </row>
    <row r="54" spans="1:2" s="200" customFormat="1">
      <c r="A54" s="243" t="s">
        <v>2063</v>
      </c>
      <c r="B54" s="242" t="s">
        <v>2064</v>
      </c>
    </row>
    <row r="55" spans="1:2" s="200" customFormat="1">
      <c r="A55" s="243" t="s">
        <v>2065</v>
      </c>
      <c r="B55" s="242" t="s">
        <v>2066</v>
      </c>
    </row>
    <row r="56" spans="1:2" s="200" customFormat="1">
      <c r="A56" s="243" t="s">
        <v>2067</v>
      </c>
      <c r="B56" s="242" t="s">
        <v>2068</v>
      </c>
    </row>
    <row r="57" spans="1:2" s="200" customFormat="1">
      <c r="A57" s="243" t="s">
        <v>2069</v>
      </c>
      <c r="B57" s="242" t="s">
        <v>2070</v>
      </c>
    </row>
    <row r="58" spans="1:2" s="200" customFormat="1">
      <c r="A58" s="243" t="s">
        <v>2071</v>
      </c>
      <c r="B58" s="242" t="s">
        <v>2072</v>
      </c>
    </row>
    <row r="59" spans="1:2" s="200" customFormat="1">
      <c r="A59" s="243" t="s">
        <v>2074</v>
      </c>
      <c r="B59" s="242" t="s">
        <v>2075</v>
      </c>
    </row>
    <row r="60" spans="1:2" s="200" customFormat="1">
      <c r="A60" s="243" t="s">
        <v>2076</v>
      </c>
      <c r="B60" s="242" t="s">
        <v>2077</v>
      </c>
    </row>
    <row r="61" spans="1:2" s="200" customFormat="1">
      <c r="A61" s="243" t="s">
        <v>2078</v>
      </c>
      <c r="B61" s="242" t="s">
        <v>2079</v>
      </c>
    </row>
    <row r="62" spans="1:2" s="200" customFormat="1">
      <c r="A62" s="243" t="s">
        <v>2080</v>
      </c>
      <c r="B62" s="242" t="s">
        <v>2081</v>
      </c>
    </row>
    <row r="63" spans="1:2" s="200" customFormat="1">
      <c r="A63" s="243" t="s">
        <v>2082</v>
      </c>
      <c r="B63" s="242" t="s">
        <v>2083</v>
      </c>
    </row>
    <row r="64" spans="1:2" s="200" customFormat="1">
      <c r="A64" s="243" t="s">
        <v>2084</v>
      </c>
      <c r="B64" s="242" t="s">
        <v>2085</v>
      </c>
    </row>
    <row r="65" spans="1:2" s="200" customFormat="1">
      <c r="A65" s="243" t="s">
        <v>2088</v>
      </c>
      <c r="B65" s="242" t="s">
        <v>2089</v>
      </c>
    </row>
    <row r="66" spans="1:2" s="200" customFormat="1" ht="25.5">
      <c r="A66" s="243" t="s">
        <v>1075</v>
      </c>
      <c r="B66" s="242" t="s">
        <v>1076</v>
      </c>
    </row>
    <row r="67" spans="1:2" s="200" customFormat="1">
      <c r="A67" s="243" t="s">
        <v>1077</v>
      </c>
      <c r="B67" s="242" t="s">
        <v>1078</v>
      </c>
    </row>
    <row r="68" spans="1:2" s="200" customFormat="1" ht="25.5">
      <c r="A68" s="243" t="s">
        <v>2090</v>
      </c>
      <c r="B68" s="242" t="s">
        <v>2091</v>
      </c>
    </row>
    <row r="69" spans="1:2" s="200" customFormat="1">
      <c r="A69" s="243" t="s">
        <v>2092</v>
      </c>
      <c r="B69" s="242" t="s">
        <v>2093</v>
      </c>
    </row>
    <row r="70" spans="1:2" s="200" customFormat="1">
      <c r="A70" s="243" t="s">
        <v>2094</v>
      </c>
      <c r="B70" s="242" t="s">
        <v>2095</v>
      </c>
    </row>
    <row r="71" spans="1:2" s="200" customFormat="1">
      <c r="A71" s="243" t="s">
        <v>2096</v>
      </c>
      <c r="B71" s="242" t="s">
        <v>2097</v>
      </c>
    </row>
    <row r="72" spans="1:2" s="200" customFormat="1">
      <c r="A72" s="243" t="s">
        <v>1829</v>
      </c>
      <c r="B72" s="242" t="s">
        <v>1830</v>
      </c>
    </row>
    <row r="73" spans="1:2" s="200" customFormat="1">
      <c r="A73" s="243" t="s">
        <v>2098</v>
      </c>
      <c r="B73" s="242" t="s">
        <v>2099</v>
      </c>
    </row>
    <row r="74" spans="1:2" s="200" customFormat="1">
      <c r="A74" s="243" t="s">
        <v>2100</v>
      </c>
      <c r="B74" s="242" t="s">
        <v>2101</v>
      </c>
    </row>
    <row r="75" spans="1:2" s="200" customFormat="1">
      <c r="A75" s="243" t="s">
        <v>2102</v>
      </c>
      <c r="B75" s="242" t="s">
        <v>2103</v>
      </c>
    </row>
    <row r="76" spans="1:2" s="200" customFormat="1">
      <c r="A76" s="243" t="s">
        <v>2104</v>
      </c>
      <c r="B76" s="242" t="s">
        <v>2105</v>
      </c>
    </row>
    <row r="77" spans="1:2" s="200" customFormat="1">
      <c r="A77" s="243" t="s">
        <v>2106</v>
      </c>
      <c r="B77" s="242" t="s">
        <v>2107</v>
      </c>
    </row>
    <row r="78" spans="1:2" s="200" customFormat="1">
      <c r="A78" s="243" t="s">
        <v>2108</v>
      </c>
      <c r="B78" s="242" t="s">
        <v>2109</v>
      </c>
    </row>
    <row r="79" spans="1:2" s="200" customFormat="1">
      <c r="A79" s="243" t="s">
        <v>2122</v>
      </c>
      <c r="B79" s="242" t="s">
        <v>2123</v>
      </c>
    </row>
    <row r="80" spans="1:2" s="200" customFormat="1">
      <c r="A80" s="243" t="s">
        <v>1831</v>
      </c>
      <c r="B80" s="242" t="s">
        <v>1832</v>
      </c>
    </row>
    <row r="81" spans="1:2" s="200" customFormat="1">
      <c r="A81" s="243" t="s">
        <v>1068</v>
      </c>
      <c r="B81" s="242" t="s">
        <v>1069</v>
      </c>
    </row>
    <row r="82" spans="1:2" s="200" customFormat="1">
      <c r="A82" s="243" t="s">
        <v>1070</v>
      </c>
      <c r="B82" s="242" t="s">
        <v>1071</v>
      </c>
    </row>
    <row r="83" spans="1:2" s="200" customFormat="1">
      <c r="A83" s="243" t="s">
        <v>1079</v>
      </c>
      <c r="B83" s="242" t="s">
        <v>1080</v>
      </c>
    </row>
    <row r="84" spans="1:2" s="200" customFormat="1">
      <c r="A84" s="243" t="s">
        <v>1833</v>
      </c>
      <c r="B84" s="242" t="s">
        <v>1834</v>
      </c>
    </row>
    <row r="85" spans="1:2" s="200" customFormat="1">
      <c r="A85" s="243" t="s">
        <v>2124</v>
      </c>
      <c r="B85" s="242" t="s">
        <v>2125</v>
      </c>
    </row>
    <row r="86" spans="1:2" s="200" customFormat="1" ht="25.5">
      <c r="A86" s="243" t="s">
        <v>1835</v>
      </c>
      <c r="B86" s="242" t="s">
        <v>1836</v>
      </c>
    </row>
    <row r="87" spans="1:2" s="200" customFormat="1">
      <c r="A87" s="243" t="s">
        <v>2126</v>
      </c>
      <c r="B87" s="242" t="s">
        <v>2127</v>
      </c>
    </row>
    <row r="88" spans="1:2" s="200" customFormat="1">
      <c r="A88" s="243" t="s">
        <v>2128</v>
      </c>
      <c r="B88" s="242" t="s">
        <v>2129</v>
      </c>
    </row>
    <row r="89" spans="1:2" s="200" customFormat="1">
      <c r="A89" s="243" t="s">
        <v>2130</v>
      </c>
      <c r="B89" s="242" t="s">
        <v>2131</v>
      </c>
    </row>
    <row r="90" spans="1:2" s="200" customFormat="1">
      <c r="A90" s="243" t="s">
        <v>2132</v>
      </c>
      <c r="B90" s="242" t="s">
        <v>2133</v>
      </c>
    </row>
    <row r="91" spans="1:2" s="200" customFormat="1">
      <c r="A91" s="243" t="s">
        <v>2134</v>
      </c>
      <c r="B91" s="242" t="s">
        <v>2135</v>
      </c>
    </row>
    <row r="92" spans="1:2" s="200" customFormat="1">
      <c r="A92" s="243" t="s">
        <v>2136</v>
      </c>
      <c r="B92" s="242" t="s">
        <v>2137</v>
      </c>
    </row>
    <row r="93" spans="1:2" s="200" customFormat="1">
      <c r="A93" s="243" t="s">
        <v>2138</v>
      </c>
      <c r="B93" s="242" t="s">
        <v>2139</v>
      </c>
    </row>
    <row r="94" spans="1:2" s="200" customFormat="1">
      <c r="A94" s="243" t="s">
        <v>2140</v>
      </c>
      <c r="B94" s="242" t="s">
        <v>2141</v>
      </c>
    </row>
    <row r="95" spans="1:2" s="200" customFormat="1">
      <c r="A95" s="243" t="s">
        <v>1837</v>
      </c>
      <c r="B95" s="242" t="s">
        <v>1838</v>
      </c>
    </row>
    <row r="96" spans="1:2" s="200" customFormat="1">
      <c r="A96" s="243" t="s">
        <v>2142</v>
      </c>
      <c r="B96" s="242" t="s">
        <v>2143</v>
      </c>
    </row>
    <row r="97" spans="1:2" s="200" customFormat="1">
      <c r="A97" s="243" t="s">
        <v>1084</v>
      </c>
      <c r="B97" s="242" t="s">
        <v>1085</v>
      </c>
    </row>
    <row r="98" spans="1:2" s="200" customFormat="1">
      <c r="A98" s="243" t="s">
        <v>1839</v>
      </c>
      <c r="B98" s="242" t="s">
        <v>1840</v>
      </c>
    </row>
    <row r="99" spans="1:2" s="200" customFormat="1">
      <c r="A99" s="243" t="s">
        <v>1081</v>
      </c>
      <c r="B99" s="242" t="s">
        <v>1082</v>
      </c>
    </row>
    <row r="100" spans="1:2" s="200" customFormat="1">
      <c r="A100" s="243" t="s">
        <v>1072</v>
      </c>
      <c r="B100" s="242" t="s">
        <v>1073</v>
      </c>
    </row>
    <row r="101" spans="1:2" s="200" customFormat="1">
      <c r="A101" s="243" t="s">
        <v>1841</v>
      </c>
      <c r="B101" s="242" t="s">
        <v>1842</v>
      </c>
    </row>
    <row r="102" spans="1:2" s="200" customFormat="1">
      <c r="A102" s="243" t="s">
        <v>1895</v>
      </c>
      <c r="B102" s="242" t="s">
        <v>1896</v>
      </c>
    </row>
    <row r="103" spans="1:2" s="200" customFormat="1">
      <c r="A103" s="243" t="s">
        <v>2144</v>
      </c>
      <c r="B103" s="242" t="s">
        <v>2145</v>
      </c>
    </row>
    <row r="104" spans="1:2" s="200" customFormat="1">
      <c r="A104" s="243" t="s">
        <v>2146</v>
      </c>
      <c r="B104" s="242" t="s">
        <v>2147</v>
      </c>
    </row>
    <row r="105" spans="1:2" s="200" customFormat="1">
      <c r="A105" s="243" t="s">
        <v>2148</v>
      </c>
      <c r="B105" s="242" t="s">
        <v>2149</v>
      </c>
    </row>
    <row r="106" spans="1:2" s="200" customFormat="1" ht="25.5">
      <c r="A106" s="243" t="s">
        <v>2150</v>
      </c>
      <c r="B106" s="242" t="s">
        <v>2151</v>
      </c>
    </row>
    <row r="107" spans="1:2" s="200" customFormat="1">
      <c r="A107" s="243" t="s">
        <v>1843</v>
      </c>
      <c r="B107" s="242" t="s">
        <v>1844</v>
      </c>
    </row>
    <row r="108" spans="1:2" s="200" customFormat="1">
      <c r="A108" s="243" t="s">
        <v>1903</v>
      </c>
      <c r="B108" s="242" t="s">
        <v>2152</v>
      </c>
    </row>
    <row r="109" spans="1:2" s="200" customFormat="1">
      <c r="A109" s="243" t="s">
        <v>2153</v>
      </c>
      <c r="B109" s="242" t="s">
        <v>2154</v>
      </c>
    </row>
    <row r="110" spans="1:2" s="200" customFormat="1">
      <c r="A110" s="243" t="s">
        <v>2155</v>
      </c>
      <c r="B110" s="242" t="s">
        <v>2156</v>
      </c>
    </row>
    <row r="111" spans="1:2" s="200" customFormat="1">
      <c r="A111" s="243" t="s">
        <v>1845</v>
      </c>
      <c r="B111" s="242" t="s">
        <v>1846</v>
      </c>
    </row>
    <row r="112" spans="1:2" s="200" customFormat="1">
      <c r="A112" s="243" t="s">
        <v>2157</v>
      </c>
      <c r="B112" s="242" t="s">
        <v>2158</v>
      </c>
    </row>
    <row r="113" spans="1:3" s="200" customFormat="1" ht="25.5">
      <c r="A113" s="243" t="s">
        <v>2159</v>
      </c>
      <c r="B113" s="242" t="s">
        <v>2160</v>
      </c>
    </row>
    <row r="114" spans="1:3" s="200" customFormat="1">
      <c r="A114" s="243" t="s">
        <v>2177</v>
      </c>
      <c r="B114" s="242" t="s">
        <v>2178</v>
      </c>
    </row>
    <row r="115" spans="1:3" s="200" customFormat="1">
      <c r="A115" s="243" t="s">
        <v>2179</v>
      </c>
      <c r="B115" s="242" t="s">
        <v>2180</v>
      </c>
    </row>
    <row r="116" spans="1:3" s="200" customFormat="1">
      <c r="A116" s="243" t="s">
        <v>2181</v>
      </c>
      <c r="B116" s="242" t="s">
        <v>2182</v>
      </c>
    </row>
    <row r="117" spans="1:3" s="200" customFormat="1">
      <c r="A117" s="243" t="s">
        <v>2183</v>
      </c>
      <c r="B117" s="242" t="s">
        <v>2184</v>
      </c>
    </row>
    <row r="118" spans="1:3" s="255" customFormat="1">
      <c r="A118" s="253" t="s">
        <v>1083</v>
      </c>
      <c r="B118" s="254" t="s">
        <v>1847</v>
      </c>
      <c r="C118" s="255" t="s">
        <v>3480</v>
      </c>
    </row>
    <row r="119" spans="1:3" s="200" customFormat="1">
      <c r="A119" s="243" t="s">
        <v>2185</v>
      </c>
      <c r="B119" s="242" t="s">
        <v>2186</v>
      </c>
    </row>
    <row r="120" spans="1:3" s="200" customFormat="1">
      <c r="A120" s="243" t="s">
        <v>2187</v>
      </c>
      <c r="B120" s="242" t="s">
        <v>2188</v>
      </c>
    </row>
    <row r="121" spans="1:3" s="200" customFormat="1">
      <c r="A121" s="243" t="s">
        <v>2189</v>
      </c>
      <c r="B121" s="242" t="s">
        <v>2190</v>
      </c>
    </row>
    <row r="122" spans="1:3" s="200" customFormat="1">
      <c r="A122" s="243" t="s">
        <v>2191</v>
      </c>
      <c r="B122" s="242" t="s">
        <v>2192</v>
      </c>
    </row>
    <row r="123" spans="1:3" s="200" customFormat="1">
      <c r="A123" s="243" t="s">
        <v>2193</v>
      </c>
      <c r="B123" s="242" t="s">
        <v>2194</v>
      </c>
    </row>
    <row r="124" spans="1:3" s="200" customFormat="1">
      <c r="A124" s="243" t="s">
        <v>2195</v>
      </c>
      <c r="B124" s="242" t="s">
        <v>2196</v>
      </c>
    </row>
    <row r="125" spans="1:3" s="200" customFormat="1">
      <c r="A125" s="243" t="s">
        <v>2197</v>
      </c>
      <c r="B125" s="242" t="s">
        <v>2198</v>
      </c>
    </row>
    <row r="126" spans="1:3" s="200" customFormat="1">
      <c r="A126" s="243" t="s">
        <v>2205</v>
      </c>
      <c r="B126" s="242" t="s">
        <v>2206</v>
      </c>
    </row>
    <row r="127" spans="1:3" s="200" customFormat="1">
      <c r="A127" s="243" t="s">
        <v>2207</v>
      </c>
      <c r="B127" s="242" t="s">
        <v>2208</v>
      </c>
    </row>
    <row r="128" spans="1:3" s="200" customFormat="1" ht="25.5">
      <c r="A128" s="243" t="s">
        <v>2209</v>
      </c>
      <c r="B128" s="242" t="s">
        <v>2210</v>
      </c>
    </row>
    <row r="129" spans="1:3" s="200" customFormat="1">
      <c r="A129" s="243" t="s">
        <v>2217</v>
      </c>
      <c r="B129" s="242" t="s">
        <v>2218</v>
      </c>
    </row>
    <row r="130" spans="1:3" s="200" customFormat="1">
      <c r="A130" s="243" t="s">
        <v>2219</v>
      </c>
      <c r="B130" s="242" t="s">
        <v>2220</v>
      </c>
    </row>
    <row r="131" spans="1:3" s="200" customFormat="1">
      <c r="A131" s="243" t="s">
        <v>2223</v>
      </c>
      <c r="B131" s="242" t="s">
        <v>2224</v>
      </c>
    </row>
    <row r="132" spans="1:3" s="200" customFormat="1">
      <c r="A132" s="243" t="s">
        <v>1848</v>
      </c>
      <c r="B132" s="242" t="s">
        <v>1849</v>
      </c>
    </row>
    <row r="133" spans="1:3" s="200" customFormat="1">
      <c r="A133" s="243" t="s">
        <v>2225</v>
      </c>
      <c r="B133" s="242" t="s">
        <v>2200</v>
      </c>
    </row>
    <row r="134" spans="1:3" s="200" customFormat="1" ht="25.5">
      <c r="A134" s="243" t="s">
        <v>2226</v>
      </c>
      <c r="B134" s="242" t="s">
        <v>2227</v>
      </c>
    </row>
    <row r="135" spans="1:3" s="255" customFormat="1">
      <c r="A135" s="253" t="s">
        <v>1074</v>
      </c>
      <c r="B135" s="254" t="s">
        <v>1132</v>
      </c>
      <c r="C135" s="255" t="s">
        <v>3480</v>
      </c>
    </row>
    <row r="136" spans="1:3">
      <c r="A136" s="241" t="s">
        <v>48</v>
      </c>
      <c r="B136" s="240" t="s">
        <v>49</v>
      </c>
    </row>
    <row r="137" spans="1:3" s="200" customFormat="1">
      <c r="A137" s="243" t="s">
        <v>52</v>
      </c>
      <c r="B137" s="242" t="s">
        <v>53</v>
      </c>
    </row>
    <row r="138" spans="1:3" s="200" customFormat="1">
      <c r="A138" s="243" t="s">
        <v>62</v>
      </c>
      <c r="B138" s="242" t="s">
        <v>63</v>
      </c>
    </row>
    <row r="139" spans="1:3" s="200" customFormat="1">
      <c r="A139" s="243" t="s">
        <v>65</v>
      </c>
      <c r="B139" s="242" t="s">
        <v>66</v>
      </c>
    </row>
    <row r="140" spans="1:3" s="200" customFormat="1">
      <c r="A140" s="243" t="s">
        <v>67</v>
      </c>
      <c r="B140" s="242" t="s">
        <v>68</v>
      </c>
    </row>
    <row r="141" spans="1:3" s="200" customFormat="1">
      <c r="A141" s="243" t="s">
        <v>770</v>
      </c>
      <c r="B141" s="242" t="s">
        <v>771</v>
      </c>
    </row>
    <row r="142" spans="1:3" s="200" customFormat="1">
      <c r="A142" s="243" t="s">
        <v>72</v>
      </c>
      <c r="B142" s="242" t="s">
        <v>73</v>
      </c>
    </row>
    <row r="143" spans="1:3" s="200" customFormat="1">
      <c r="A143" s="243" t="s">
        <v>74</v>
      </c>
      <c r="B143" s="242" t="s">
        <v>75</v>
      </c>
    </row>
    <row r="144" spans="1:3" s="200" customFormat="1">
      <c r="A144" s="243" t="s">
        <v>76</v>
      </c>
      <c r="B144" s="242" t="s">
        <v>77</v>
      </c>
    </row>
    <row r="145" spans="1:3" s="200" customFormat="1">
      <c r="A145" s="243" t="s">
        <v>79</v>
      </c>
      <c r="B145" s="242" t="s">
        <v>80</v>
      </c>
    </row>
    <row r="146" spans="1:3" s="200" customFormat="1">
      <c r="A146" s="243" t="s">
        <v>774</v>
      </c>
      <c r="B146" s="242" t="s">
        <v>775</v>
      </c>
    </row>
    <row r="147" spans="1:3" s="200" customFormat="1">
      <c r="A147" s="243" t="s">
        <v>2073</v>
      </c>
      <c r="B147" s="242" t="s">
        <v>1051</v>
      </c>
    </row>
    <row r="148" spans="1:3" s="200" customFormat="1">
      <c r="A148" s="243" t="s">
        <v>1052</v>
      </c>
      <c r="B148" s="242" t="s">
        <v>1053</v>
      </c>
    </row>
    <row r="149" spans="1:3" s="200" customFormat="1">
      <c r="A149" s="243" t="s">
        <v>776</v>
      </c>
      <c r="B149" s="242" t="s">
        <v>777</v>
      </c>
    </row>
    <row r="150" spans="1:3" s="200" customFormat="1">
      <c r="A150" s="243" t="s">
        <v>768</v>
      </c>
      <c r="B150" s="242" t="s">
        <v>769</v>
      </c>
    </row>
    <row r="151" spans="1:3" s="255" customFormat="1">
      <c r="A151" s="253" t="s">
        <v>96</v>
      </c>
      <c r="B151" s="254" t="s">
        <v>1935</v>
      </c>
      <c r="C151" s="255" t="s">
        <v>3480</v>
      </c>
    </row>
    <row r="152" spans="1:3" s="255" customFormat="1">
      <c r="A152" s="253" t="s">
        <v>121</v>
      </c>
      <c r="B152" s="254" t="s">
        <v>1936</v>
      </c>
      <c r="C152" s="255" t="s">
        <v>3480</v>
      </c>
    </row>
    <row r="153" spans="1:3" s="255" customFormat="1">
      <c r="A153" s="253" t="s">
        <v>2110</v>
      </c>
      <c r="B153" s="254" t="s">
        <v>2111</v>
      </c>
      <c r="C153" s="255" t="s">
        <v>3480</v>
      </c>
    </row>
    <row r="154" spans="1:3" s="255" customFormat="1">
      <c r="A154" s="253" t="s">
        <v>128</v>
      </c>
      <c r="B154" s="254" t="s">
        <v>1937</v>
      </c>
      <c r="C154" s="255" t="s">
        <v>3480</v>
      </c>
    </row>
    <row r="155" spans="1:3" s="255" customFormat="1">
      <c r="A155" s="253" t="s">
        <v>134</v>
      </c>
      <c r="B155" s="254" t="s">
        <v>1938</v>
      </c>
      <c r="C155" s="255" t="s">
        <v>3480</v>
      </c>
    </row>
    <row r="156" spans="1:3" s="255" customFormat="1">
      <c r="A156" s="253" t="s">
        <v>136</v>
      </c>
      <c r="B156" s="254" t="s">
        <v>1939</v>
      </c>
      <c r="C156" s="255" t="s">
        <v>3480</v>
      </c>
    </row>
    <row r="157" spans="1:3" s="255" customFormat="1">
      <c r="A157" s="253" t="s">
        <v>138</v>
      </c>
      <c r="B157" s="254" t="s">
        <v>2112</v>
      </c>
      <c r="C157" s="255" t="s">
        <v>3480</v>
      </c>
    </row>
    <row r="158" spans="1:3" s="255" customFormat="1">
      <c r="A158" s="253" t="s">
        <v>142</v>
      </c>
      <c r="B158" s="254" t="s">
        <v>2113</v>
      </c>
      <c r="C158" s="255" t="s">
        <v>3480</v>
      </c>
    </row>
    <row r="159" spans="1:3" s="200" customFormat="1">
      <c r="A159" s="243" t="s">
        <v>1850</v>
      </c>
      <c r="B159" s="242" t="s">
        <v>1851</v>
      </c>
    </row>
    <row r="160" spans="1:3" s="200" customFormat="1">
      <c r="A160" s="243" t="s">
        <v>146</v>
      </c>
      <c r="B160" s="242" t="s">
        <v>147</v>
      </c>
    </row>
    <row r="161" spans="1:3" s="255" customFormat="1">
      <c r="A161" s="253" t="s">
        <v>148</v>
      </c>
      <c r="B161" s="254" t="s">
        <v>1940</v>
      </c>
      <c r="C161" s="255" t="s">
        <v>3480</v>
      </c>
    </row>
    <row r="162" spans="1:3" s="200" customFormat="1">
      <c r="A162" s="243" t="s">
        <v>149</v>
      </c>
      <c r="B162" s="242" t="s">
        <v>1377</v>
      </c>
    </row>
    <row r="163" spans="1:3" s="200" customFormat="1">
      <c r="A163" s="243" t="s">
        <v>178</v>
      </c>
      <c r="B163" s="242" t="s">
        <v>1378</v>
      </c>
    </row>
    <row r="164" spans="1:3" s="200" customFormat="1">
      <c r="A164" s="243" t="s">
        <v>181</v>
      </c>
      <c r="B164" s="242" t="s">
        <v>1379</v>
      </c>
    </row>
    <row r="165" spans="1:3" s="200" customFormat="1">
      <c r="A165" s="243" t="s">
        <v>184</v>
      </c>
      <c r="B165" s="242" t="s">
        <v>1380</v>
      </c>
    </row>
    <row r="166" spans="1:3" s="200" customFormat="1">
      <c r="A166" s="243" t="s">
        <v>188</v>
      </c>
      <c r="B166" s="242" t="s">
        <v>1381</v>
      </c>
    </row>
    <row r="167" spans="1:3" s="200" customFormat="1">
      <c r="A167" s="243" t="s">
        <v>189</v>
      </c>
      <c r="B167" s="242" t="s">
        <v>1382</v>
      </c>
    </row>
    <row r="168" spans="1:3" s="200" customFormat="1">
      <c r="A168" s="243" t="s">
        <v>191</v>
      </c>
      <c r="B168" s="242" t="s">
        <v>1383</v>
      </c>
    </row>
    <row r="169" spans="1:3" s="200" customFormat="1">
      <c r="A169" s="243" t="s">
        <v>197</v>
      </c>
      <c r="B169" s="242" t="s">
        <v>1384</v>
      </c>
    </row>
    <row r="170" spans="1:3" s="200" customFormat="1">
      <c r="A170" s="243" t="s">
        <v>198</v>
      </c>
      <c r="B170" s="242" t="s">
        <v>1385</v>
      </c>
    </row>
    <row r="171" spans="1:3" s="200" customFormat="1">
      <c r="A171" s="243" t="s">
        <v>2114</v>
      </c>
      <c r="B171" s="242" t="s">
        <v>2115</v>
      </c>
    </row>
    <row r="172" spans="1:3" s="200" customFormat="1">
      <c r="A172" s="243" t="s">
        <v>766</v>
      </c>
      <c r="B172" s="242" t="s">
        <v>767</v>
      </c>
    </row>
    <row r="173" spans="1:3" s="200" customFormat="1">
      <c r="A173" s="243" t="s">
        <v>1852</v>
      </c>
      <c r="B173" s="242" t="s">
        <v>2116</v>
      </c>
    </row>
    <row r="174" spans="1:3" s="255" customFormat="1">
      <c r="A174" s="253" t="s">
        <v>1942</v>
      </c>
      <c r="B174" s="254" t="s">
        <v>2117</v>
      </c>
      <c r="C174" s="255" t="s">
        <v>3480</v>
      </c>
    </row>
    <row r="175" spans="1:3" s="200" customFormat="1">
      <c r="A175" s="243" t="s">
        <v>2118</v>
      </c>
      <c r="B175" s="242" t="s">
        <v>2119</v>
      </c>
    </row>
    <row r="176" spans="1:3" s="200" customFormat="1">
      <c r="A176" s="243" t="s">
        <v>2120</v>
      </c>
      <c r="B176" s="242" t="s">
        <v>2121</v>
      </c>
    </row>
    <row r="177" spans="1:3" s="200" customFormat="1">
      <c r="A177" s="243" t="s">
        <v>772</v>
      </c>
      <c r="B177" s="242" t="s">
        <v>773</v>
      </c>
    </row>
    <row r="178" spans="1:3" s="255" customFormat="1">
      <c r="A178" s="253" t="s">
        <v>258</v>
      </c>
      <c r="B178" s="254" t="s">
        <v>1847</v>
      </c>
      <c r="C178" s="255" t="s">
        <v>3480</v>
      </c>
    </row>
    <row r="179" spans="1:3" s="255" customFormat="1">
      <c r="A179" s="253" t="s">
        <v>779</v>
      </c>
      <c r="B179" s="254" t="s">
        <v>780</v>
      </c>
      <c r="C179" s="255" t="s">
        <v>3480</v>
      </c>
    </row>
    <row r="180" spans="1:3" s="255" customFormat="1">
      <c r="A180" s="253" t="s">
        <v>781</v>
      </c>
      <c r="B180" s="254" t="s">
        <v>782</v>
      </c>
      <c r="C180" s="255" t="s">
        <v>3480</v>
      </c>
    </row>
    <row r="181" spans="1:3" s="200" customFormat="1">
      <c r="A181" s="243" t="s">
        <v>2211</v>
      </c>
      <c r="B181" s="242" t="s">
        <v>2200</v>
      </c>
    </row>
    <row r="182" spans="1:3" s="200" customFormat="1">
      <c r="A182" s="243" t="s">
        <v>2212</v>
      </c>
      <c r="B182" s="242" t="s">
        <v>2202</v>
      </c>
    </row>
    <row r="183" spans="1:3" s="200" customFormat="1">
      <c r="A183" s="243" t="s">
        <v>2213</v>
      </c>
      <c r="B183" s="242" t="s">
        <v>2214</v>
      </c>
    </row>
    <row r="184" spans="1:3" s="200" customFormat="1">
      <c r="A184" s="243" t="s">
        <v>2215</v>
      </c>
      <c r="B184" s="242" t="s">
        <v>2216</v>
      </c>
    </row>
    <row r="185" spans="1:3">
      <c r="A185" s="241" t="s">
        <v>630</v>
      </c>
      <c r="B185" s="240" t="s">
        <v>1054</v>
      </c>
    </row>
    <row r="186" spans="1:3" s="200" customFormat="1">
      <c r="A186" s="243" t="s">
        <v>783</v>
      </c>
      <c r="B186" s="242" t="s">
        <v>784</v>
      </c>
    </row>
    <row r="187" spans="1:3" s="200" customFormat="1">
      <c r="A187" s="243" t="s">
        <v>785</v>
      </c>
      <c r="B187" s="242" t="s">
        <v>786</v>
      </c>
    </row>
    <row r="188" spans="1:3" s="200" customFormat="1">
      <c r="A188" s="243" t="s">
        <v>1055</v>
      </c>
      <c r="B188" s="242" t="s">
        <v>1056</v>
      </c>
    </row>
    <row r="189" spans="1:3" s="200" customFormat="1">
      <c r="A189" s="243" t="s">
        <v>787</v>
      </c>
      <c r="B189" s="242" t="s">
        <v>788</v>
      </c>
    </row>
    <row r="190" spans="1:3" s="200" customFormat="1">
      <c r="A190" s="243" t="s">
        <v>1057</v>
      </c>
      <c r="B190" s="242" t="s">
        <v>1051</v>
      </c>
    </row>
    <row r="191" spans="1:3" s="200" customFormat="1">
      <c r="A191" s="243" t="s">
        <v>789</v>
      </c>
      <c r="B191" s="242" t="s">
        <v>1941</v>
      </c>
    </row>
    <row r="192" spans="1:3" s="200" customFormat="1">
      <c r="A192" s="243" t="s">
        <v>790</v>
      </c>
      <c r="B192" s="242" t="s">
        <v>1386</v>
      </c>
    </row>
    <row r="193" spans="1:3" s="200" customFormat="1">
      <c r="A193" s="243" t="s">
        <v>791</v>
      </c>
      <c r="B193" s="242" t="s">
        <v>792</v>
      </c>
    </row>
    <row r="194" spans="1:3" s="200" customFormat="1">
      <c r="A194" s="243" t="s">
        <v>2086</v>
      </c>
      <c r="B194" s="242" t="s">
        <v>2087</v>
      </c>
    </row>
    <row r="195" spans="1:3" s="255" customFormat="1">
      <c r="A195" s="253" t="s">
        <v>793</v>
      </c>
      <c r="B195" s="254" t="s">
        <v>778</v>
      </c>
      <c r="C195" s="255" t="s">
        <v>3480</v>
      </c>
    </row>
    <row r="196" spans="1:3" s="200" customFormat="1">
      <c r="A196" s="243" t="s">
        <v>2199</v>
      </c>
      <c r="B196" s="242" t="s">
        <v>2200</v>
      </c>
    </row>
    <row r="197" spans="1:3" s="200" customFormat="1">
      <c r="A197" s="243" t="s">
        <v>2201</v>
      </c>
      <c r="B197" s="242" t="s">
        <v>2202</v>
      </c>
    </row>
    <row r="198" spans="1:3" s="200" customFormat="1">
      <c r="A198" s="243" t="s">
        <v>2203</v>
      </c>
      <c r="B198" s="242" t="s">
        <v>2204</v>
      </c>
    </row>
    <row r="199" spans="1:3">
      <c r="A199" s="241" t="s">
        <v>1086</v>
      </c>
      <c r="B199" s="240" t="s">
        <v>1087</v>
      </c>
    </row>
    <row r="200" spans="1:3" s="200" customFormat="1">
      <c r="A200" s="243" t="s">
        <v>1088</v>
      </c>
      <c r="B200" s="242" t="s">
        <v>1089</v>
      </c>
    </row>
    <row r="201" spans="1:3" s="200" customFormat="1">
      <c r="A201" s="243" t="s">
        <v>1090</v>
      </c>
      <c r="B201" s="242" t="s">
        <v>1091</v>
      </c>
    </row>
    <row r="202" spans="1:3">
      <c r="A202" s="241" t="s">
        <v>1092</v>
      </c>
      <c r="B202" s="240" t="s">
        <v>1093</v>
      </c>
    </row>
    <row r="203" spans="1:3" s="200" customFormat="1">
      <c r="A203" s="243" t="s">
        <v>1094</v>
      </c>
      <c r="B203" s="242" t="s">
        <v>1095</v>
      </c>
    </row>
    <row r="204" spans="1:3" s="200" customFormat="1">
      <c r="A204" s="243" t="s">
        <v>1096</v>
      </c>
      <c r="B204" s="242" t="s">
        <v>1097</v>
      </c>
    </row>
    <row r="205" spans="1:3" s="200" customFormat="1">
      <c r="A205" s="243" t="s">
        <v>1098</v>
      </c>
      <c r="B205" s="242" t="s">
        <v>1387</v>
      </c>
    </row>
    <row r="206" spans="1:3" s="200" customFormat="1">
      <c r="A206" s="243" t="s">
        <v>1099</v>
      </c>
      <c r="B206" s="242" t="s">
        <v>1100</v>
      </c>
    </row>
    <row r="207" spans="1:3">
      <c r="A207" s="241" t="s">
        <v>1101</v>
      </c>
      <c r="B207" s="240" t="s">
        <v>1102</v>
      </c>
    </row>
    <row r="208" spans="1:3" s="200" customFormat="1">
      <c r="A208" s="243" t="s">
        <v>1103</v>
      </c>
      <c r="B208" s="242" t="s">
        <v>1104</v>
      </c>
    </row>
    <row r="209" spans="1:3" s="200" customFormat="1">
      <c r="A209" s="243" t="s">
        <v>1105</v>
      </c>
      <c r="B209" s="242" t="s">
        <v>1106</v>
      </c>
    </row>
    <row r="210" spans="1:3" s="200" customFormat="1">
      <c r="A210" s="243" t="s">
        <v>1107</v>
      </c>
      <c r="B210" s="242" t="s">
        <v>1108</v>
      </c>
    </row>
    <row r="211" spans="1:3" s="200" customFormat="1" ht="25.5">
      <c r="A211" s="243" t="s">
        <v>1109</v>
      </c>
      <c r="B211" s="242" t="s">
        <v>1110</v>
      </c>
    </row>
    <row r="212" spans="1:3" s="200" customFormat="1">
      <c r="A212" s="243" t="s">
        <v>1111</v>
      </c>
      <c r="B212" s="242" t="s">
        <v>1112</v>
      </c>
    </row>
    <row r="213" spans="1:3" s="200" customFormat="1">
      <c r="A213" s="243" t="s">
        <v>1113</v>
      </c>
      <c r="B213" s="242" t="s">
        <v>1114</v>
      </c>
    </row>
    <row r="214" spans="1:3" s="200" customFormat="1">
      <c r="A214" s="243" t="s">
        <v>1115</v>
      </c>
      <c r="B214" s="242" t="s">
        <v>1116</v>
      </c>
    </row>
    <row r="215" spans="1:3" s="200" customFormat="1" ht="30" customHeight="1">
      <c r="A215" s="243" t="s">
        <v>1117</v>
      </c>
      <c r="B215" s="242" t="s">
        <v>1118</v>
      </c>
    </row>
    <row r="216" spans="1:3" s="200" customFormat="1">
      <c r="A216" s="243" t="s">
        <v>1119</v>
      </c>
      <c r="B216" s="242" t="s">
        <v>1120</v>
      </c>
    </row>
    <row r="217" spans="1:3" s="200" customFormat="1" ht="25.5">
      <c r="A217" s="243" t="s">
        <v>1121</v>
      </c>
      <c r="B217" s="242" t="s">
        <v>1122</v>
      </c>
    </row>
    <row r="218" spans="1:3" s="200" customFormat="1">
      <c r="A218" s="243" t="s">
        <v>1123</v>
      </c>
      <c r="B218" s="242" t="s">
        <v>1124</v>
      </c>
    </row>
    <row r="219" spans="1:3" s="200" customFormat="1">
      <c r="A219" s="243" t="s">
        <v>1853</v>
      </c>
      <c r="B219" s="242" t="s">
        <v>1854</v>
      </c>
    </row>
    <row r="220" spans="1:3" s="200" customFormat="1">
      <c r="A220" s="243" t="s">
        <v>1125</v>
      </c>
      <c r="B220" s="242" t="s">
        <v>1126</v>
      </c>
    </row>
    <row r="221" spans="1:3" s="200" customFormat="1">
      <c r="A221" s="243" t="s">
        <v>1127</v>
      </c>
      <c r="B221" s="242" t="s">
        <v>1128</v>
      </c>
    </row>
    <row r="222" spans="1:3" s="255" customFormat="1">
      <c r="A222" s="253" t="s">
        <v>1129</v>
      </c>
      <c r="B222" s="254" t="s">
        <v>1130</v>
      </c>
      <c r="C222" s="255" t="s">
        <v>3480</v>
      </c>
    </row>
    <row r="223" spans="1:3" s="255" customFormat="1">
      <c r="A223" s="253" t="s">
        <v>1131</v>
      </c>
      <c r="B223" s="254" t="s">
        <v>1132</v>
      </c>
      <c r="C223" s="255" t="s">
        <v>3480</v>
      </c>
    </row>
    <row r="224" spans="1:3">
      <c r="A224" s="241" t="s">
        <v>1133</v>
      </c>
      <c r="B224" s="240" t="s">
        <v>1134</v>
      </c>
    </row>
    <row r="225" spans="1:3" s="200" customFormat="1">
      <c r="A225" s="243" t="s">
        <v>1135</v>
      </c>
      <c r="B225" s="242" t="s">
        <v>1136</v>
      </c>
    </row>
    <row r="226" spans="1:3" s="200" customFormat="1">
      <c r="A226" s="243" t="s">
        <v>1137</v>
      </c>
      <c r="B226" s="242" t="s">
        <v>1389</v>
      </c>
    </row>
    <row r="227" spans="1:3">
      <c r="A227" s="241" t="s">
        <v>1138</v>
      </c>
      <c r="B227" s="240" t="s">
        <v>1139</v>
      </c>
    </row>
    <row r="228" spans="1:3" s="200" customFormat="1">
      <c r="A228" s="243" t="s">
        <v>1140</v>
      </c>
      <c r="B228" s="242" t="s">
        <v>1141</v>
      </c>
    </row>
    <row r="229" spans="1:3" s="200" customFormat="1">
      <c r="A229" s="243" t="s">
        <v>1142</v>
      </c>
      <c r="B229" s="242" t="s">
        <v>1388</v>
      </c>
    </row>
    <row r="230" spans="1:3" s="200" customFormat="1">
      <c r="A230" s="243" t="s">
        <v>1143</v>
      </c>
      <c r="B230" s="242" t="s">
        <v>1144</v>
      </c>
    </row>
    <row r="231" spans="1:3" s="200" customFormat="1">
      <c r="A231" s="243" t="s">
        <v>1145</v>
      </c>
      <c r="B231" s="242" t="s">
        <v>1390</v>
      </c>
    </row>
    <row r="232" spans="1:3" s="255" customFormat="1">
      <c r="A232" s="253" t="s">
        <v>1146</v>
      </c>
      <c r="B232" s="254" t="s">
        <v>1147</v>
      </c>
      <c r="C232" s="255" t="s">
        <v>3480</v>
      </c>
    </row>
    <row r="233" spans="1:3">
      <c r="A233" s="241" t="s">
        <v>1148</v>
      </c>
      <c r="B233" s="240" t="s">
        <v>1149</v>
      </c>
    </row>
    <row r="234" spans="1:3" s="200" customFormat="1" ht="25.5">
      <c r="A234" s="243" t="s">
        <v>1150</v>
      </c>
      <c r="B234" s="242" t="s">
        <v>1151</v>
      </c>
    </row>
    <row r="235" spans="1:3" s="200" customFormat="1">
      <c r="A235" s="243" t="s">
        <v>1152</v>
      </c>
      <c r="B235" s="242" t="s">
        <v>1153</v>
      </c>
    </row>
    <row r="236" spans="1:3" s="200" customFormat="1">
      <c r="A236" s="243" t="s">
        <v>1154</v>
      </c>
      <c r="B236" s="242" t="s">
        <v>1155</v>
      </c>
    </row>
    <row r="237" spans="1:3" s="200" customFormat="1">
      <c r="A237" s="243" t="s">
        <v>1156</v>
      </c>
      <c r="B237" s="242" t="s">
        <v>1157</v>
      </c>
    </row>
    <row r="238" spans="1:3" s="200" customFormat="1">
      <c r="A238" s="243" t="s">
        <v>1855</v>
      </c>
      <c r="B238" s="242" t="s">
        <v>1856</v>
      </c>
    </row>
    <row r="239" spans="1:3" s="200" customFormat="1">
      <c r="A239" s="243" t="s">
        <v>1158</v>
      </c>
      <c r="B239" s="242" t="s">
        <v>1159</v>
      </c>
    </row>
    <row r="240" spans="1:3" s="200" customFormat="1">
      <c r="A240" s="243" t="s">
        <v>2221</v>
      </c>
      <c r="B240" s="242" t="s">
        <v>2222</v>
      </c>
    </row>
    <row r="241" spans="1:2" s="200" customFormat="1">
      <c r="A241" s="243" t="s">
        <v>1857</v>
      </c>
      <c r="B241" s="242" t="s">
        <v>780</v>
      </c>
    </row>
    <row r="242" spans="1:2">
      <c r="A242" s="241" t="s">
        <v>1160</v>
      </c>
      <c r="B242" s="240" t="s">
        <v>1161</v>
      </c>
    </row>
    <row r="243" spans="1:2" s="200" customFormat="1">
      <c r="A243" s="243" t="s">
        <v>1162</v>
      </c>
      <c r="B243" s="242" t="s">
        <v>1163</v>
      </c>
    </row>
    <row r="244" spans="1:2" s="200" customFormat="1">
      <c r="A244" s="243" t="s">
        <v>1164</v>
      </c>
      <c r="B244" s="242" t="s">
        <v>1165</v>
      </c>
    </row>
    <row r="245" spans="1:2" s="200" customFormat="1">
      <c r="A245" s="243" t="s">
        <v>1166</v>
      </c>
      <c r="B245" s="242" t="s">
        <v>1167</v>
      </c>
    </row>
    <row r="246" spans="1:2" s="200" customFormat="1">
      <c r="A246" s="243" t="s">
        <v>1168</v>
      </c>
      <c r="B246" s="242" t="s">
        <v>1169</v>
      </c>
    </row>
    <row r="247" spans="1:2" s="200" customFormat="1">
      <c r="A247" s="243" t="s">
        <v>1170</v>
      </c>
      <c r="B247" s="242" t="s">
        <v>1171</v>
      </c>
    </row>
    <row r="248" spans="1:2" s="200" customFormat="1">
      <c r="A248" s="243" t="s">
        <v>1172</v>
      </c>
      <c r="B248" s="242" t="s">
        <v>1173</v>
      </c>
    </row>
    <row r="249" spans="1:2" s="200" customFormat="1">
      <c r="A249" s="243" t="s">
        <v>1174</v>
      </c>
      <c r="B249" s="242" t="s">
        <v>1175</v>
      </c>
    </row>
    <row r="250" spans="1:2" s="200" customFormat="1">
      <c r="A250" s="243" t="s">
        <v>1176</v>
      </c>
      <c r="B250" s="242" t="s">
        <v>1177</v>
      </c>
    </row>
    <row r="251" spans="1:2" s="200" customFormat="1">
      <c r="A251" s="243" t="s">
        <v>1178</v>
      </c>
      <c r="B251" s="242" t="s">
        <v>1179</v>
      </c>
    </row>
    <row r="252" spans="1:2" s="200" customFormat="1">
      <c r="A252" s="243" t="s">
        <v>1180</v>
      </c>
      <c r="B252" s="242" t="s">
        <v>1181</v>
      </c>
    </row>
    <row r="253" spans="1:2" s="200" customFormat="1" ht="30" customHeight="1">
      <c r="A253" s="243" t="s">
        <v>1182</v>
      </c>
      <c r="B253" s="242" t="s">
        <v>1183</v>
      </c>
    </row>
    <row r="254" spans="1:2" s="200" customFormat="1" ht="25.5">
      <c r="A254" s="243" t="s">
        <v>1184</v>
      </c>
      <c r="B254" s="242" t="s">
        <v>1185</v>
      </c>
    </row>
    <row r="255" spans="1:2" s="200" customFormat="1">
      <c r="A255" s="243" t="s">
        <v>1186</v>
      </c>
      <c r="B255" s="242" t="s">
        <v>1187</v>
      </c>
    </row>
    <row r="256" spans="1:2" s="200" customFormat="1">
      <c r="A256" s="243" t="s">
        <v>1188</v>
      </c>
      <c r="B256" s="242" t="s">
        <v>1189</v>
      </c>
    </row>
    <row r="257" spans="1:2" s="200" customFormat="1" ht="25.5">
      <c r="A257" s="243" t="s">
        <v>1858</v>
      </c>
      <c r="B257" s="242" t="s">
        <v>1859</v>
      </c>
    </row>
    <row r="258" spans="1:2" s="200" customFormat="1">
      <c r="A258" s="243" t="s">
        <v>2173</v>
      </c>
      <c r="B258" s="242" t="s">
        <v>2174</v>
      </c>
    </row>
    <row r="259" spans="1:2" s="200" customFormat="1">
      <c r="A259" s="243" t="s">
        <v>2175</v>
      </c>
      <c r="B259" s="242" t="s">
        <v>2176</v>
      </c>
    </row>
    <row r="260" spans="1:2" s="200" customFormat="1">
      <c r="A260" s="243" t="s">
        <v>1190</v>
      </c>
      <c r="B260" s="242" t="s">
        <v>1191</v>
      </c>
    </row>
    <row r="261" spans="1:2" s="200" customFormat="1">
      <c r="A261" s="243" t="s">
        <v>1192</v>
      </c>
      <c r="B261" s="242" t="s">
        <v>1193</v>
      </c>
    </row>
    <row r="262" spans="1:2" s="200" customFormat="1">
      <c r="A262" s="243" t="s">
        <v>1194</v>
      </c>
      <c r="B262" s="242" t="s">
        <v>780</v>
      </c>
    </row>
    <row r="263" spans="1:2" s="200" customFormat="1">
      <c r="A263" s="243" t="s">
        <v>1195</v>
      </c>
      <c r="B263" s="242" t="s">
        <v>1196</v>
      </c>
    </row>
    <row r="264" spans="1:2">
      <c r="A264" s="241" t="s">
        <v>1197</v>
      </c>
      <c r="B264" s="240" t="s">
        <v>1198</v>
      </c>
    </row>
    <row r="265" spans="1:2" s="200" customFormat="1">
      <c r="A265" s="243" t="s">
        <v>1199</v>
      </c>
      <c r="B265" s="242" t="s">
        <v>1200</v>
      </c>
    </row>
    <row r="266" spans="1:2" s="200" customFormat="1">
      <c r="A266" s="243" t="s">
        <v>1201</v>
      </c>
      <c r="B266" s="242" t="s">
        <v>1860</v>
      </c>
    </row>
    <row r="267" spans="1:2" s="200" customFormat="1">
      <c r="A267" s="243" t="s">
        <v>1202</v>
      </c>
      <c r="B267" s="242" t="s">
        <v>1203</v>
      </c>
    </row>
    <row r="268" spans="1:2" s="200" customFormat="1">
      <c r="A268" s="243" t="s">
        <v>1204</v>
      </c>
      <c r="B268" s="242" t="s">
        <v>1205</v>
      </c>
    </row>
    <row r="269" spans="1:2" s="200" customFormat="1">
      <c r="A269" s="243" t="s">
        <v>2228</v>
      </c>
      <c r="B269" s="242" t="s">
        <v>2229</v>
      </c>
    </row>
    <row r="270" spans="1:2" s="200" customFormat="1">
      <c r="A270" s="243" t="s">
        <v>2230</v>
      </c>
      <c r="B270" s="242" t="s">
        <v>2231</v>
      </c>
    </row>
    <row r="271" spans="1:2">
      <c r="A271" s="241" t="s">
        <v>1206</v>
      </c>
      <c r="B271" s="240" t="s">
        <v>1207</v>
      </c>
    </row>
    <row r="272" spans="1:2" s="200" customFormat="1">
      <c r="A272" s="243" t="s">
        <v>1208</v>
      </c>
      <c r="B272" s="242" t="s">
        <v>1209</v>
      </c>
    </row>
    <row r="273" spans="1:2" s="200" customFormat="1">
      <c r="A273" s="243" t="s">
        <v>1210</v>
      </c>
      <c r="B273" s="242" t="s">
        <v>1211</v>
      </c>
    </row>
    <row r="274" spans="1:2" s="200" customFormat="1">
      <c r="A274" s="243" t="s">
        <v>1212</v>
      </c>
      <c r="B274" s="242" t="s">
        <v>1213</v>
      </c>
    </row>
    <row r="275" spans="1:2" s="200" customFormat="1">
      <c r="A275" s="243" t="s">
        <v>1214</v>
      </c>
      <c r="B275" s="242" t="s">
        <v>1215</v>
      </c>
    </row>
    <row r="276" spans="1:2" s="200" customFormat="1">
      <c r="A276" s="243" t="s">
        <v>1216</v>
      </c>
      <c r="B276" s="242" t="s">
        <v>1217</v>
      </c>
    </row>
    <row r="277" spans="1:2" s="200" customFormat="1">
      <c r="A277" s="243" t="s">
        <v>1218</v>
      </c>
      <c r="B277" s="242" t="s">
        <v>1219</v>
      </c>
    </row>
    <row r="278" spans="1:2" s="200" customFormat="1">
      <c r="A278" s="243" t="s">
        <v>1220</v>
      </c>
      <c r="B278" s="242" t="s">
        <v>1221</v>
      </c>
    </row>
    <row r="279" spans="1:2" s="200" customFormat="1">
      <c r="A279" s="243" t="s">
        <v>1222</v>
      </c>
      <c r="B279" s="242" t="s">
        <v>1223</v>
      </c>
    </row>
    <row r="280" spans="1:2" s="200" customFormat="1">
      <c r="A280" s="243" t="s">
        <v>1224</v>
      </c>
      <c r="B280" s="242" t="s">
        <v>1225</v>
      </c>
    </row>
    <row r="281" spans="1:2" s="200" customFormat="1">
      <c r="A281" s="243" t="s">
        <v>1226</v>
      </c>
      <c r="B281" s="242" t="s">
        <v>1227</v>
      </c>
    </row>
    <row r="282" spans="1:2" s="200" customFormat="1">
      <c r="A282" s="243" t="s">
        <v>1228</v>
      </c>
      <c r="B282" s="242" t="s">
        <v>1861</v>
      </c>
    </row>
    <row r="283" spans="1:2" s="200" customFormat="1">
      <c r="A283" s="243" t="s">
        <v>1229</v>
      </c>
      <c r="B283" s="242" t="s">
        <v>1862</v>
      </c>
    </row>
    <row r="284" spans="1:2" s="200" customFormat="1">
      <c r="A284" s="243" t="s">
        <v>1230</v>
      </c>
      <c r="B284" s="242" t="s">
        <v>1863</v>
      </c>
    </row>
    <row r="285" spans="1:2" s="200" customFormat="1">
      <c r="A285" s="243" t="s">
        <v>1231</v>
      </c>
      <c r="B285" s="242" t="s">
        <v>1232</v>
      </c>
    </row>
    <row r="286" spans="1:2" s="200" customFormat="1">
      <c r="A286" s="243" t="s">
        <v>1233</v>
      </c>
      <c r="B286" s="242" t="s">
        <v>1864</v>
      </c>
    </row>
    <row r="287" spans="1:2" s="200" customFormat="1">
      <c r="A287" s="243" t="s">
        <v>1234</v>
      </c>
      <c r="B287" s="242" t="s">
        <v>1865</v>
      </c>
    </row>
    <row r="288" spans="1:2" s="200" customFormat="1">
      <c r="A288" s="243" t="s">
        <v>1235</v>
      </c>
      <c r="B288" s="242" t="s">
        <v>1236</v>
      </c>
    </row>
    <row r="289" spans="1:2" s="200" customFormat="1">
      <c r="A289" s="243" t="s">
        <v>1237</v>
      </c>
      <c r="B289" s="242" t="s">
        <v>1238</v>
      </c>
    </row>
    <row r="290" spans="1:2" s="200" customFormat="1">
      <c r="A290" s="243" t="s">
        <v>2161</v>
      </c>
      <c r="B290" s="242" t="s">
        <v>2162</v>
      </c>
    </row>
    <row r="291" spans="1:2" s="200" customFormat="1">
      <c r="A291" s="243" t="s">
        <v>2163</v>
      </c>
      <c r="B291" s="242" t="s">
        <v>2164</v>
      </c>
    </row>
    <row r="292" spans="1:2" s="200" customFormat="1">
      <c r="A292" s="243" t="s">
        <v>2165</v>
      </c>
      <c r="B292" s="242" t="s">
        <v>2166</v>
      </c>
    </row>
    <row r="293" spans="1:2">
      <c r="A293" s="241" t="s">
        <v>1239</v>
      </c>
      <c r="B293" s="240" t="s">
        <v>1240</v>
      </c>
    </row>
    <row r="294" spans="1:2" s="200" customFormat="1">
      <c r="A294" s="243" t="s">
        <v>1241</v>
      </c>
      <c r="B294" s="242" t="s">
        <v>1242</v>
      </c>
    </row>
    <row r="295" spans="1:2" s="200" customFormat="1">
      <c r="A295" s="243" t="s">
        <v>1243</v>
      </c>
      <c r="B295" s="242" t="s">
        <v>1244</v>
      </c>
    </row>
    <row r="296" spans="1:2" s="200" customFormat="1">
      <c r="A296" s="243" t="s">
        <v>1245</v>
      </c>
      <c r="B296" s="242" t="s">
        <v>1246</v>
      </c>
    </row>
    <row r="297" spans="1:2" s="200" customFormat="1">
      <c r="A297" s="243" t="s">
        <v>1247</v>
      </c>
      <c r="B297" s="242" t="s">
        <v>1248</v>
      </c>
    </row>
    <row r="298" spans="1:2" s="200" customFormat="1">
      <c r="A298" s="243" t="s">
        <v>1249</v>
      </c>
      <c r="B298" s="242" t="s">
        <v>1250</v>
      </c>
    </row>
    <row r="299" spans="1:2" s="200" customFormat="1">
      <c r="A299" s="243" t="s">
        <v>1251</v>
      </c>
      <c r="B299" s="242" t="s">
        <v>1252</v>
      </c>
    </row>
    <row r="300" spans="1:2" s="200" customFormat="1">
      <c r="A300" s="243" t="s">
        <v>1253</v>
      </c>
      <c r="B300" s="242" t="s">
        <v>1254</v>
      </c>
    </row>
    <row r="301" spans="1:2" s="200" customFormat="1" ht="25.5">
      <c r="A301" s="243" t="s">
        <v>1255</v>
      </c>
      <c r="B301" s="242" t="s">
        <v>1256</v>
      </c>
    </row>
    <row r="302" spans="1:2" s="200" customFormat="1" ht="25.5">
      <c r="A302" s="243" t="s">
        <v>1257</v>
      </c>
      <c r="B302" s="242" t="s">
        <v>1258</v>
      </c>
    </row>
    <row r="303" spans="1:2" s="200" customFormat="1">
      <c r="A303" s="243" t="s">
        <v>1259</v>
      </c>
      <c r="B303" s="242" t="s">
        <v>1260</v>
      </c>
    </row>
    <row r="304" spans="1:2" s="200" customFormat="1">
      <c r="A304" s="243" t="s">
        <v>1261</v>
      </c>
      <c r="B304" s="242" t="s">
        <v>1262</v>
      </c>
    </row>
    <row r="305" spans="1:3" s="200" customFormat="1" ht="25.5">
      <c r="A305" s="243" t="s">
        <v>1263</v>
      </c>
      <c r="B305" s="242" t="s">
        <v>1264</v>
      </c>
    </row>
    <row r="306" spans="1:3" s="200" customFormat="1">
      <c r="A306" s="243" t="s">
        <v>2167</v>
      </c>
      <c r="B306" s="242" t="s">
        <v>2168</v>
      </c>
    </row>
    <row r="307" spans="1:3" s="200" customFormat="1">
      <c r="A307" s="243" t="s">
        <v>2169</v>
      </c>
      <c r="B307" s="242" t="s">
        <v>2170</v>
      </c>
    </row>
    <row r="308" spans="1:3" s="200" customFormat="1" ht="25.5">
      <c r="A308" s="243" t="s">
        <v>2171</v>
      </c>
      <c r="B308" s="242" t="s">
        <v>2172</v>
      </c>
    </row>
    <row r="309" spans="1:3" s="255" customFormat="1">
      <c r="A309" s="253" t="s">
        <v>1265</v>
      </c>
      <c r="B309" s="254" t="s">
        <v>780</v>
      </c>
      <c r="C309" s="255" t="s">
        <v>3480</v>
      </c>
    </row>
    <row r="310" spans="1:3" s="200" customFormat="1">
      <c r="A310" s="243" t="s">
        <v>1266</v>
      </c>
      <c r="B310" s="242" t="s">
        <v>1267</v>
      </c>
      <c r="C310" s="255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topLeftCell="A31"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1" t="s">
        <v>1268</v>
      </c>
      <c r="B1" s="202"/>
    </row>
    <row r="2" spans="1:2">
      <c r="A2" s="201" t="s">
        <v>794</v>
      </c>
      <c r="B2" s="202"/>
    </row>
    <row r="3" spans="1:2">
      <c r="A3" s="244" t="s">
        <v>1050</v>
      </c>
      <c r="B3" s="248" t="s">
        <v>586</v>
      </c>
    </row>
    <row r="4" spans="1:2">
      <c r="A4" s="245" t="s">
        <v>1058</v>
      </c>
      <c r="B4" s="249" t="s">
        <v>1059</v>
      </c>
    </row>
    <row r="5" spans="1:2">
      <c r="A5" s="246" t="s">
        <v>1083</v>
      </c>
      <c r="B5" s="247" t="s">
        <v>1847</v>
      </c>
    </row>
    <row r="6" spans="1:2">
      <c r="A6" s="251" t="s">
        <v>1306</v>
      </c>
      <c r="B6" s="250" t="s">
        <v>1307</v>
      </c>
    </row>
    <row r="7" spans="1:2">
      <c r="A7" s="251" t="s">
        <v>1308</v>
      </c>
      <c r="B7" s="250" t="s">
        <v>1309</v>
      </c>
    </row>
    <row r="8" spans="1:2">
      <c r="A8" s="251" t="s">
        <v>1310</v>
      </c>
      <c r="B8" s="250" t="s">
        <v>1311</v>
      </c>
    </row>
    <row r="9" spans="1:2">
      <c r="A9" s="251" t="s">
        <v>1312</v>
      </c>
      <c r="B9" s="250" t="s">
        <v>340</v>
      </c>
    </row>
    <row r="10" spans="1:2">
      <c r="A10" s="251" t="s">
        <v>1313</v>
      </c>
      <c r="B10" s="250" t="s">
        <v>1314</v>
      </c>
    </row>
    <row r="11" spans="1:2">
      <c r="A11" s="251" t="s">
        <v>1315</v>
      </c>
      <c r="B11" s="250" t="s">
        <v>1316</v>
      </c>
    </row>
    <row r="12" spans="1:2">
      <c r="A12" s="251" t="s">
        <v>1317</v>
      </c>
      <c r="B12" s="250" t="s">
        <v>1318</v>
      </c>
    </row>
    <row r="13" spans="1:2" ht="15.75" customHeight="1">
      <c r="A13" s="251" t="s">
        <v>1319</v>
      </c>
      <c r="B13" s="250" t="s">
        <v>1320</v>
      </c>
    </row>
    <row r="14" spans="1:2">
      <c r="A14" s="246" t="s">
        <v>1074</v>
      </c>
      <c r="B14" s="247" t="s">
        <v>1132</v>
      </c>
    </row>
    <row r="15" spans="1:2">
      <c r="A15" s="251" t="s">
        <v>1269</v>
      </c>
      <c r="B15" s="250" t="s">
        <v>1270</v>
      </c>
    </row>
    <row r="16" spans="1:2">
      <c r="A16" s="251" t="s">
        <v>1271</v>
      </c>
      <c r="B16" s="250" t="s">
        <v>1272</v>
      </c>
    </row>
    <row r="17" spans="1:2">
      <c r="A17" s="251" t="s">
        <v>1273</v>
      </c>
      <c r="B17" s="250" t="s">
        <v>1274</v>
      </c>
    </row>
    <row r="18" spans="1:2">
      <c r="A18" s="251" t="s">
        <v>1275</v>
      </c>
      <c r="B18" s="250" t="s">
        <v>1276</v>
      </c>
    </row>
    <row r="19" spans="1:2">
      <c r="A19" s="251" t="s">
        <v>1277</v>
      </c>
      <c r="B19" s="250" t="s">
        <v>990</v>
      </c>
    </row>
    <row r="20" spans="1:2">
      <c r="A20" s="251" t="s">
        <v>1278</v>
      </c>
      <c r="B20" s="250" t="s">
        <v>992</v>
      </c>
    </row>
    <row r="21" spans="1:2">
      <c r="A21" s="251" t="s">
        <v>1279</v>
      </c>
      <c r="B21" s="250" t="s">
        <v>994</v>
      </c>
    </row>
    <row r="22" spans="1:2">
      <c r="A22" s="251" t="s">
        <v>1280</v>
      </c>
      <c r="B22" s="250" t="s">
        <v>1281</v>
      </c>
    </row>
    <row r="23" spans="1:2">
      <c r="A23" s="251" t="s">
        <v>1282</v>
      </c>
      <c r="B23" s="250" t="s">
        <v>1283</v>
      </c>
    </row>
    <row r="24" spans="1:2">
      <c r="A24" s="251" t="s">
        <v>1284</v>
      </c>
      <c r="B24" s="250" t="s">
        <v>1285</v>
      </c>
    </row>
    <row r="25" spans="1:2">
      <c r="A25" s="251" t="s">
        <v>1286</v>
      </c>
      <c r="B25" s="250" t="s">
        <v>1287</v>
      </c>
    </row>
    <row r="26" spans="1:2">
      <c r="A26" s="251" t="s">
        <v>1288</v>
      </c>
      <c r="B26" s="250" t="s">
        <v>1289</v>
      </c>
    </row>
    <row r="27" spans="1:2">
      <c r="A27" s="251" t="s">
        <v>1290</v>
      </c>
      <c r="B27" s="250" t="s">
        <v>1291</v>
      </c>
    </row>
    <row r="28" spans="1:2">
      <c r="A28" s="251" t="s">
        <v>1292</v>
      </c>
      <c r="B28" s="250" t="s">
        <v>1293</v>
      </c>
    </row>
    <row r="29" spans="1:2">
      <c r="A29" s="251" t="s">
        <v>1294</v>
      </c>
      <c r="B29" s="250" t="s">
        <v>1295</v>
      </c>
    </row>
    <row r="30" spans="1:2">
      <c r="A30" s="251" t="s">
        <v>1296</v>
      </c>
      <c r="B30" s="250" t="s">
        <v>1297</v>
      </c>
    </row>
    <row r="31" spans="1:2">
      <c r="A31" s="251" t="s">
        <v>1298</v>
      </c>
      <c r="B31" s="250" t="s">
        <v>1299</v>
      </c>
    </row>
    <row r="32" spans="1:2">
      <c r="A32" s="251" t="s">
        <v>1300</v>
      </c>
      <c r="B32" s="250" t="s">
        <v>1301</v>
      </c>
    </row>
    <row r="33" spans="1:2">
      <c r="A33" s="251" t="s">
        <v>1302</v>
      </c>
      <c r="B33" s="250" t="s">
        <v>1303</v>
      </c>
    </row>
    <row r="34" spans="1:2">
      <c r="A34" s="251" t="s">
        <v>1304</v>
      </c>
      <c r="B34" s="250" t="s">
        <v>1305</v>
      </c>
    </row>
    <row r="35" spans="1:2">
      <c r="A35" s="251" t="s">
        <v>1391</v>
      </c>
      <c r="B35" s="250" t="s">
        <v>1326</v>
      </c>
    </row>
    <row r="36" spans="1:2">
      <c r="A36" s="251" t="s">
        <v>2232</v>
      </c>
      <c r="B36" s="250" t="s">
        <v>2233</v>
      </c>
    </row>
    <row r="37" spans="1:2">
      <c r="A37" s="245" t="s">
        <v>48</v>
      </c>
      <c r="B37" s="249" t="s">
        <v>49</v>
      </c>
    </row>
    <row r="38" spans="1:2">
      <c r="A38" s="246" t="s">
        <v>96</v>
      </c>
      <c r="B38" s="247" t="s">
        <v>1935</v>
      </c>
    </row>
    <row r="39" spans="1:2">
      <c r="A39" s="251" t="s">
        <v>795</v>
      </c>
      <c r="B39" s="250" t="s">
        <v>796</v>
      </c>
    </row>
    <row r="40" spans="1:2">
      <c r="A40" s="251" t="s">
        <v>797</v>
      </c>
      <c r="B40" s="250" t="s">
        <v>798</v>
      </c>
    </row>
    <row r="41" spans="1:2">
      <c r="A41" s="251" t="s">
        <v>799</v>
      </c>
      <c r="B41" s="250" t="s">
        <v>800</v>
      </c>
    </row>
    <row r="42" spans="1:2">
      <c r="A42" s="251" t="s">
        <v>801</v>
      </c>
      <c r="B42" s="250" t="s">
        <v>802</v>
      </c>
    </row>
    <row r="43" spans="1:2">
      <c r="A43" s="251" t="s">
        <v>803</v>
      </c>
      <c r="B43" s="250" t="s">
        <v>804</v>
      </c>
    </row>
    <row r="44" spans="1:2">
      <c r="A44" s="251" t="s">
        <v>805</v>
      </c>
      <c r="B44" s="250" t="s">
        <v>806</v>
      </c>
    </row>
    <row r="45" spans="1:2">
      <c r="A45" s="251" t="s">
        <v>1392</v>
      </c>
      <c r="B45" s="250" t="s">
        <v>1393</v>
      </c>
    </row>
    <row r="46" spans="1:2">
      <c r="A46" s="251" t="s">
        <v>1394</v>
      </c>
      <c r="B46" s="250" t="s">
        <v>1395</v>
      </c>
    </row>
    <row r="47" spans="1:2">
      <c r="A47" s="251" t="s">
        <v>1396</v>
      </c>
      <c r="B47" s="250" t="s">
        <v>1397</v>
      </c>
    </row>
    <row r="48" spans="1:2">
      <c r="A48" s="251" t="s">
        <v>1398</v>
      </c>
      <c r="B48" s="250" t="s">
        <v>1399</v>
      </c>
    </row>
    <row r="49" spans="1:2">
      <c r="A49" s="251" t="s">
        <v>1400</v>
      </c>
      <c r="B49" s="250" t="s">
        <v>1401</v>
      </c>
    </row>
    <row r="50" spans="1:2">
      <c r="A50" s="251" t="s">
        <v>1402</v>
      </c>
      <c r="B50" s="250" t="s">
        <v>1403</v>
      </c>
    </row>
    <row r="51" spans="1:2">
      <c r="A51" s="251" t="s">
        <v>1404</v>
      </c>
      <c r="B51" s="250" t="s">
        <v>1405</v>
      </c>
    </row>
    <row r="52" spans="1:2">
      <c r="A52" s="251" t="s">
        <v>1406</v>
      </c>
      <c r="B52" s="250" t="s">
        <v>1407</v>
      </c>
    </row>
    <row r="53" spans="1:2">
      <c r="A53" s="251" t="s">
        <v>1408</v>
      </c>
      <c r="B53" s="250" t="s">
        <v>1409</v>
      </c>
    </row>
    <row r="54" spans="1:2">
      <c r="A54" s="251" t="s">
        <v>1410</v>
      </c>
      <c r="B54" s="250" t="s">
        <v>1411</v>
      </c>
    </row>
    <row r="55" spans="1:2">
      <c r="A55" s="251" t="s">
        <v>1412</v>
      </c>
      <c r="B55" s="250" t="s">
        <v>1413</v>
      </c>
    </row>
    <row r="56" spans="1:2">
      <c r="A56" s="251" t="s">
        <v>1414</v>
      </c>
      <c r="B56" s="250" t="s">
        <v>1415</v>
      </c>
    </row>
    <row r="57" spans="1:2">
      <c r="A57" s="251" t="s">
        <v>1416</v>
      </c>
      <c r="B57" s="250" t="s">
        <v>1417</v>
      </c>
    </row>
    <row r="58" spans="1:2">
      <c r="A58" s="251" t="s">
        <v>1418</v>
      </c>
      <c r="B58" s="250" t="s">
        <v>1419</v>
      </c>
    </row>
    <row r="59" spans="1:2">
      <c r="A59" s="251" t="s">
        <v>2234</v>
      </c>
      <c r="B59" s="250" t="s">
        <v>2235</v>
      </c>
    </row>
    <row r="60" spans="1:2">
      <c r="A60" s="251" t="s">
        <v>2236</v>
      </c>
      <c r="B60" s="250" t="s">
        <v>2237</v>
      </c>
    </row>
    <row r="61" spans="1:2">
      <c r="A61" s="251" t="s">
        <v>2238</v>
      </c>
      <c r="B61" s="250" t="s">
        <v>2239</v>
      </c>
    </row>
    <row r="62" spans="1:2">
      <c r="A62" s="251" t="s">
        <v>2240</v>
      </c>
      <c r="B62" s="250" t="s">
        <v>2241</v>
      </c>
    </row>
    <row r="63" spans="1:2">
      <c r="A63" s="251" t="s">
        <v>2242</v>
      </c>
      <c r="B63" s="250" t="s">
        <v>2243</v>
      </c>
    </row>
    <row r="64" spans="1:2">
      <c r="A64" s="251" t="s">
        <v>2244</v>
      </c>
      <c r="B64" s="250" t="s">
        <v>2245</v>
      </c>
    </row>
    <row r="65" spans="1:2">
      <c r="A65" s="251" t="s">
        <v>2246</v>
      </c>
      <c r="B65" s="250" t="s">
        <v>2247</v>
      </c>
    </row>
    <row r="66" spans="1:2">
      <c r="A66" s="251" t="s">
        <v>2248</v>
      </c>
      <c r="B66" s="250" t="s">
        <v>2249</v>
      </c>
    </row>
    <row r="67" spans="1:2">
      <c r="A67" s="251" t="s">
        <v>2250</v>
      </c>
      <c r="B67" s="250" t="s">
        <v>2251</v>
      </c>
    </row>
    <row r="68" spans="1:2">
      <c r="A68" s="251" t="s">
        <v>2252</v>
      </c>
      <c r="B68" s="250" t="s">
        <v>2253</v>
      </c>
    </row>
    <row r="69" spans="1:2">
      <c r="A69" s="251" t="s">
        <v>2254</v>
      </c>
      <c r="B69" s="250" t="s">
        <v>2255</v>
      </c>
    </row>
    <row r="70" spans="1:2">
      <c r="A70" s="251" t="s">
        <v>2256</v>
      </c>
      <c r="B70" s="250" t="s">
        <v>2257</v>
      </c>
    </row>
    <row r="71" spans="1:2">
      <c r="A71" s="251" t="s">
        <v>2258</v>
      </c>
      <c r="B71" s="250" t="s">
        <v>2259</v>
      </c>
    </row>
    <row r="72" spans="1:2">
      <c r="A72" s="251" t="s">
        <v>2260</v>
      </c>
      <c r="B72" s="250" t="s">
        <v>2261</v>
      </c>
    </row>
    <row r="73" spans="1:2">
      <c r="A73" s="251" t="s">
        <v>2262</v>
      </c>
      <c r="B73" s="250" t="s">
        <v>2263</v>
      </c>
    </row>
    <row r="74" spans="1:2">
      <c r="A74" s="251" t="s">
        <v>2264</v>
      </c>
      <c r="B74" s="250" t="s">
        <v>2265</v>
      </c>
    </row>
    <row r="75" spans="1:2">
      <c r="A75" s="251" t="s">
        <v>2266</v>
      </c>
      <c r="B75" s="250" t="s">
        <v>2267</v>
      </c>
    </row>
    <row r="76" spans="1:2">
      <c r="A76" s="251" t="s">
        <v>2268</v>
      </c>
      <c r="B76" s="250" t="s">
        <v>2269</v>
      </c>
    </row>
    <row r="77" spans="1:2">
      <c r="A77" s="251" t="s">
        <v>2270</v>
      </c>
      <c r="B77" s="250" t="s">
        <v>2271</v>
      </c>
    </row>
    <row r="78" spans="1:2">
      <c r="A78" s="251" t="s">
        <v>2272</v>
      </c>
      <c r="B78" s="250" t="s">
        <v>2273</v>
      </c>
    </row>
    <row r="79" spans="1:2">
      <c r="A79" s="251" t="s">
        <v>2274</v>
      </c>
      <c r="B79" s="250" t="s">
        <v>2275</v>
      </c>
    </row>
    <row r="80" spans="1:2">
      <c r="A80" s="251" t="s">
        <v>2276</v>
      </c>
      <c r="B80" s="250" t="s">
        <v>2277</v>
      </c>
    </row>
    <row r="81" spans="1:2">
      <c r="A81" s="251" t="s">
        <v>2278</v>
      </c>
      <c r="B81" s="250" t="s">
        <v>2279</v>
      </c>
    </row>
    <row r="82" spans="1:2">
      <c r="A82" s="251" t="s">
        <v>2280</v>
      </c>
      <c r="B82" s="250" t="s">
        <v>2281</v>
      </c>
    </row>
    <row r="83" spans="1:2">
      <c r="A83" s="251" t="s">
        <v>2282</v>
      </c>
      <c r="B83" s="250" t="s">
        <v>2283</v>
      </c>
    </row>
    <row r="84" spans="1:2">
      <c r="A84" s="251" t="s">
        <v>2284</v>
      </c>
      <c r="B84" s="250" t="s">
        <v>2285</v>
      </c>
    </row>
    <row r="85" spans="1:2">
      <c r="A85" s="251" t="s">
        <v>2286</v>
      </c>
      <c r="B85" s="250" t="s">
        <v>2287</v>
      </c>
    </row>
    <row r="86" spans="1:2">
      <c r="A86" s="251" t="s">
        <v>2288</v>
      </c>
      <c r="B86" s="250" t="s">
        <v>2289</v>
      </c>
    </row>
    <row r="87" spans="1:2">
      <c r="A87" s="251" t="s">
        <v>2290</v>
      </c>
      <c r="B87" s="250" t="s">
        <v>2291</v>
      </c>
    </row>
    <row r="88" spans="1:2">
      <c r="A88" s="251" t="s">
        <v>2292</v>
      </c>
      <c r="B88" s="250" t="s">
        <v>2293</v>
      </c>
    </row>
    <row r="89" spans="1:2">
      <c r="A89" s="246" t="s">
        <v>121</v>
      </c>
      <c r="B89" s="247" t="s">
        <v>1936</v>
      </c>
    </row>
    <row r="90" spans="1:2">
      <c r="A90" s="251" t="s">
        <v>807</v>
      </c>
      <c r="B90" s="250" t="s">
        <v>808</v>
      </c>
    </row>
    <row r="91" spans="1:2">
      <c r="A91" s="251" t="s">
        <v>809</v>
      </c>
      <c r="B91" s="250" t="s">
        <v>810</v>
      </c>
    </row>
    <row r="92" spans="1:2">
      <c r="A92" s="251" t="s">
        <v>811</v>
      </c>
      <c r="B92" s="250" t="s">
        <v>812</v>
      </c>
    </row>
    <row r="93" spans="1:2">
      <c r="A93" s="251" t="s">
        <v>813</v>
      </c>
      <c r="B93" s="250" t="s">
        <v>814</v>
      </c>
    </row>
    <row r="94" spans="1:2">
      <c r="A94" s="251" t="s">
        <v>815</v>
      </c>
      <c r="B94" s="250" t="s">
        <v>816</v>
      </c>
    </row>
    <row r="95" spans="1:2">
      <c r="A95" s="251" t="s">
        <v>817</v>
      </c>
      <c r="B95" s="250" t="s">
        <v>818</v>
      </c>
    </row>
    <row r="96" spans="1:2">
      <c r="A96" s="251" t="s">
        <v>819</v>
      </c>
      <c r="B96" s="250" t="s">
        <v>820</v>
      </c>
    </row>
    <row r="97" spans="1:2">
      <c r="A97" s="251" t="s">
        <v>821</v>
      </c>
      <c r="B97" s="250" t="s">
        <v>822</v>
      </c>
    </row>
    <row r="98" spans="1:2">
      <c r="A98" s="251" t="s">
        <v>823</v>
      </c>
      <c r="B98" s="250" t="s">
        <v>824</v>
      </c>
    </row>
    <row r="99" spans="1:2">
      <c r="A99" s="251" t="s">
        <v>825</v>
      </c>
      <c r="B99" s="250" t="s">
        <v>826</v>
      </c>
    </row>
    <row r="100" spans="1:2">
      <c r="A100" s="251" t="s">
        <v>827</v>
      </c>
      <c r="B100" s="250" t="s">
        <v>828</v>
      </c>
    </row>
    <row r="101" spans="1:2">
      <c r="A101" s="251" t="s">
        <v>829</v>
      </c>
      <c r="B101" s="250" t="s">
        <v>830</v>
      </c>
    </row>
    <row r="102" spans="1:2">
      <c r="A102" s="251" t="s">
        <v>831</v>
      </c>
      <c r="B102" s="250" t="s">
        <v>832</v>
      </c>
    </row>
    <row r="103" spans="1:2">
      <c r="A103" s="251" t="s">
        <v>833</v>
      </c>
      <c r="B103" s="250" t="s">
        <v>834</v>
      </c>
    </row>
    <row r="104" spans="1:2">
      <c r="A104" s="251" t="s">
        <v>1420</v>
      </c>
      <c r="B104" s="250" t="s">
        <v>1421</v>
      </c>
    </row>
    <row r="105" spans="1:2">
      <c r="A105" s="251" t="s">
        <v>1422</v>
      </c>
      <c r="B105" s="250" t="s">
        <v>1423</v>
      </c>
    </row>
    <row r="106" spans="1:2">
      <c r="A106" s="251" t="s">
        <v>1424</v>
      </c>
      <c r="B106" s="250" t="s">
        <v>1425</v>
      </c>
    </row>
    <row r="107" spans="1:2">
      <c r="A107" s="251" t="s">
        <v>1426</v>
      </c>
      <c r="B107" s="250" t="s">
        <v>1427</v>
      </c>
    </row>
    <row r="108" spans="1:2">
      <c r="A108" s="251" t="s">
        <v>1428</v>
      </c>
      <c r="B108" s="250" t="s">
        <v>1429</v>
      </c>
    </row>
    <row r="109" spans="1:2">
      <c r="A109" s="251" t="s">
        <v>1430</v>
      </c>
      <c r="B109" s="250" t="s">
        <v>1431</v>
      </c>
    </row>
    <row r="110" spans="1:2">
      <c r="A110" s="251" t="s">
        <v>1432</v>
      </c>
      <c r="B110" s="250" t="s">
        <v>1433</v>
      </c>
    </row>
    <row r="111" spans="1:2">
      <c r="A111" s="251" t="s">
        <v>1434</v>
      </c>
      <c r="B111" s="250" t="s">
        <v>1435</v>
      </c>
    </row>
    <row r="112" spans="1:2">
      <c r="A112" s="251" t="s">
        <v>1436</v>
      </c>
      <c r="B112" s="250" t="s">
        <v>1437</v>
      </c>
    </row>
    <row r="113" spans="1:2">
      <c r="A113" s="251" t="s">
        <v>1438</v>
      </c>
      <c r="B113" s="250" t="s">
        <v>1439</v>
      </c>
    </row>
    <row r="114" spans="1:2">
      <c r="A114" s="251" t="s">
        <v>1440</v>
      </c>
      <c r="B114" s="250" t="s">
        <v>1441</v>
      </c>
    </row>
    <row r="115" spans="1:2">
      <c r="A115" s="251" t="s">
        <v>1442</v>
      </c>
      <c r="B115" s="250" t="s">
        <v>1443</v>
      </c>
    </row>
    <row r="116" spans="1:2">
      <c r="A116" s="251" t="s">
        <v>1444</v>
      </c>
      <c r="B116" s="250" t="s">
        <v>1445</v>
      </c>
    </row>
    <row r="117" spans="1:2">
      <c r="A117" s="251" t="s">
        <v>1446</v>
      </c>
      <c r="B117" s="250" t="s">
        <v>1447</v>
      </c>
    </row>
    <row r="118" spans="1:2">
      <c r="A118" s="251" t="s">
        <v>1448</v>
      </c>
      <c r="B118" s="250" t="s">
        <v>1449</v>
      </c>
    </row>
    <row r="119" spans="1:2">
      <c r="A119" s="251" t="s">
        <v>1450</v>
      </c>
      <c r="B119" s="250" t="s">
        <v>1451</v>
      </c>
    </row>
    <row r="120" spans="1:2">
      <c r="A120" s="251" t="s">
        <v>1452</v>
      </c>
      <c r="B120" s="250" t="s">
        <v>1453</v>
      </c>
    </row>
    <row r="121" spans="1:2">
      <c r="A121" s="251" t="s">
        <v>1454</v>
      </c>
      <c r="B121" s="250" t="s">
        <v>1455</v>
      </c>
    </row>
    <row r="122" spans="1:2">
      <c r="A122" s="251" t="s">
        <v>1456</v>
      </c>
      <c r="B122" s="250" t="s">
        <v>1457</v>
      </c>
    </row>
    <row r="123" spans="1:2">
      <c r="A123" s="251" t="s">
        <v>1458</v>
      </c>
      <c r="B123" s="250" t="s">
        <v>1459</v>
      </c>
    </row>
    <row r="124" spans="1:2">
      <c r="A124" s="251" t="s">
        <v>1460</v>
      </c>
      <c r="B124" s="250" t="s">
        <v>1461</v>
      </c>
    </row>
    <row r="125" spans="1:2">
      <c r="A125" s="251" t="s">
        <v>1462</v>
      </c>
      <c r="B125" s="250" t="s">
        <v>1463</v>
      </c>
    </row>
    <row r="126" spans="1:2">
      <c r="A126" s="251" t="s">
        <v>1464</v>
      </c>
      <c r="B126" s="250" t="s">
        <v>1465</v>
      </c>
    </row>
    <row r="127" spans="1:2">
      <c r="A127" s="251" t="s">
        <v>1466</v>
      </c>
      <c r="B127" s="250" t="s">
        <v>1467</v>
      </c>
    </row>
    <row r="128" spans="1:2">
      <c r="A128" s="251" t="s">
        <v>1468</v>
      </c>
      <c r="B128" s="250" t="s">
        <v>1469</v>
      </c>
    </row>
    <row r="129" spans="1:2">
      <c r="A129" s="251" t="s">
        <v>1470</v>
      </c>
      <c r="B129" s="250" t="s">
        <v>1471</v>
      </c>
    </row>
    <row r="130" spans="1:2">
      <c r="A130" s="251" t="s">
        <v>1472</v>
      </c>
      <c r="B130" s="250" t="s">
        <v>1473</v>
      </c>
    </row>
    <row r="131" spans="1:2">
      <c r="A131" s="251" t="s">
        <v>1474</v>
      </c>
      <c r="B131" s="250" t="s">
        <v>1475</v>
      </c>
    </row>
    <row r="132" spans="1:2">
      <c r="A132" s="251" t="s">
        <v>1476</v>
      </c>
      <c r="B132" s="250" t="s">
        <v>1477</v>
      </c>
    </row>
    <row r="133" spans="1:2">
      <c r="A133" s="251" t="s">
        <v>1478</v>
      </c>
      <c r="B133" s="250" t="s">
        <v>1479</v>
      </c>
    </row>
    <row r="134" spans="1:2">
      <c r="A134" s="251" t="s">
        <v>1480</v>
      </c>
      <c r="B134" s="250" t="s">
        <v>1481</v>
      </c>
    </row>
    <row r="135" spans="1:2">
      <c r="A135" s="251" t="s">
        <v>1482</v>
      </c>
      <c r="B135" s="250" t="s">
        <v>1483</v>
      </c>
    </row>
    <row r="136" spans="1:2">
      <c r="A136" s="251" t="s">
        <v>1484</v>
      </c>
      <c r="B136" s="250" t="s">
        <v>1485</v>
      </c>
    </row>
    <row r="137" spans="1:2">
      <c r="A137" s="251" t="s">
        <v>1486</v>
      </c>
      <c r="B137" s="250" t="s">
        <v>1487</v>
      </c>
    </row>
    <row r="138" spans="1:2">
      <c r="A138" s="251" t="s">
        <v>1488</v>
      </c>
      <c r="B138" s="250" t="s">
        <v>1489</v>
      </c>
    </row>
    <row r="139" spans="1:2">
      <c r="A139" s="251" t="s">
        <v>1490</v>
      </c>
      <c r="B139" s="250" t="s">
        <v>1491</v>
      </c>
    </row>
    <row r="140" spans="1:2">
      <c r="A140" s="251" t="s">
        <v>1492</v>
      </c>
      <c r="B140" s="250" t="s">
        <v>1493</v>
      </c>
    </row>
    <row r="141" spans="1:2">
      <c r="A141" s="251" t="s">
        <v>1494</v>
      </c>
      <c r="B141" s="250" t="s">
        <v>1495</v>
      </c>
    </row>
    <row r="142" spans="1:2">
      <c r="A142" s="251" t="s">
        <v>1496</v>
      </c>
      <c r="B142" s="250" t="s">
        <v>1497</v>
      </c>
    </row>
    <row r="143" spans="1:2">
      <c r="A143" s="251" t="s">
        <v>2294</v>
      </c>
      <c r="B143" s="250" t="s">
        <v>2295</v>
      </c>
    </row>
    <row r="144" spans="1:2">
      <c r="A144" s="251" t="s">
        <v>2296</v>
      </c>
      <c r="B144" s="250" t="s">
        <v>2297</v>
      </c>
    </row>
    <row r="145" spans="1:2">
      <c r="A145" s="251" t="s">
        <v>2298</v>
      </c>
      <c r="B145" s="250" t="s">
        <v>2299</v>
      </c>
    </row>
    <row r="146" spans="1:2">
      <c r="A146" s="251" t="s">
        <v>2300</v>
      </c>
      <c r="B146" s="250" t="s">
        <v>2301</v>
      </c>
    </row>
    <row r="147" spans="1:2">
      <c r="A147" s="251" t="s">
        <v>2302</v>
      </c>
      <c r="B147" s="250" t="s">
        <v>2303</v>
      </c>
    </row>
    <row r="148" spans="1:2">
      <c r="A148" s="251" t="s">
        <v>2304</v>
      </c>
      <c r="B148" s="250" t="s">
        <v>2305</v>
      </c>
    </row>
    <row r="149" spans="1:2">
      <c r="A149" s="251" t="s">
        <v>2306</v>
      </c>
      <c r="B149" s="250" t="s">
        <v>2307</v>
      </c>
    </row>
    <row r="150" spans="1:2">
      <c r="A150" s="251" t="s">
        <v>2308</v>
      </c>
      <c r="B150" s="250" t="s">
        <v>2309</v>
      </c>
    </row>
    <row r="151" spans="1:2">
      <c r="A151" s="251" t="s">
        <v>2310</v>
      </c>
      <c r="B151" s="250" t="s">
        <v>2311</v>
      </c>
    </row>
    <row r="152" spans="1:2">
      <c r="A152" s="251" t="s">
        <v>2312</v>
      </c>
      <c r="B152" s="250" t="s">
        <v>2313</v>
      </c>
    </row>
    <row r="153" spans="1:2">
      <c r="A153" s="251" t="s">
        <v>2314</v>
      </c>
      <c r="B153" s="250" t="s">
        <v>2251</v>
      </c>
    </row>
    <row r="154" spans="1:2">
      <c r="A154" s="251" t="s">
        <v>2315</v>
      </c>
      <c r="B154" s="250" t="s">
        <v>2316</v>
      </c>
    </row>
    <row r="155" spans="1:2">
      <c r="A155" s="251" t="s">
        <v>2317</v>
      </c>
      <c r="B155" s="250" t="s">
        <v>2318</v>
      </c>
    </row>
    <row r="156" spans="1:2">
      <c r="A156" s="251" t="s">
        <v>2319</v>
      </c>
      <c r="B156" s="250" t="s">
        <v>2320</v>
      </c>
    </row>
    <row r="157" spans="1:2">
      <c r="A157" s="251" t="s">
        <v>2321</v>
      </c>
      <c r="B157" s="250" t="s">
        <v>2322</v>
      </c>
    </row>
    <row r="158" spans="1:2">
      <c r="A158" s="251" t="s">
        <v>2323</v>
      </c>
      <c r="B158" s="250" t="s">
        <v>2324</v>
      </c>
    </row>
    <row r="159" spans="1:2">
      <c r="A159" s="251" t="s">
        <v>2325</v>
      </c>
      <c r="B159" s="250" t="s">
        <v>2326</v>
      </c>
    </row>
    <row r="160" spans="1:2">
      <c r="A160" s="251" t="s">
        <v>2327</v>
      </c>
      <c r="B160" s="250" t="s">
        <v>2328</v>
      </c>
    </row>
    <row r="161" spans="1:2">
      <c r="A161" s="251" t="s">
        <v>2329</v>
      </c>
      <c r="B161" s="250" t="s">
        <v>2330</v>
      </c>
    </row>
    <row r="162" spans="1:2">
      <c r="A162" s="251" t="s">
        <v>2331</v>
      </c>
      <c r="B162" s="250" t="s">
        <v>2332</v>
      </c>
    </row>
    <row r="163" spans="1:2">
      <c r="A163" s="251" t="s">
        <v>2333</v>
      </c>
      <c r="B163" s="250" t="s">
        <v>2334</v>
      </c>
    </row>
    <row r="164" spans="1:2">
      <c r="A164" s="251" t="s">
        <v>2335</v>
      </c>
      <c r="B164" s="250" t="s">
        <v>2336</v>
      </c>
    </row>
    <row r="165" spans="1:2">
      <c r="A165" s="251" t="s">
        <v>2337</v>
      </c>
      <c r="B165" s="250" t="s">
        <v>2338</v>
      </c>
    </row>
    <row r="166" spans="1:2">
      <c r="A166" s="251" t="s">
        <v>2339</v>
      </c>
      <c r="B166" s="250" t="s">
        <v>2340</v>
      </c>
    </row>
    <row r="167" spans="1:2">
      <c r="A167" s="251" t="s">
        <v>2341</v>
      </c>
      <c r="B167" s="250" t="s">
        <v>2342</v>
      </c>
    </row>
    <row r="168" spans="1:2">
      <c r="A168" s="251" t="s">
        <v>2343</v>
      </c>
      <c r="B168" s="250" t="s">
        <v>2344</v>
      </c>
    </row>
    <row r="169" spans="1:2">
      <c r="A169" s="251" t="s">
        <v>2345</v>
      </c>
      <c r="B169" s="250" t="s">
        <v>2346</v>
      </c>
    </row>
    <row r="170" spans="1:2">
      <c r="A170" s="251" t="s">
        <v>2347</v>
      </c>
      <c r="B170" s="250" t="s">
        <v>2348</v>
      </c>
    </row>
    <row r="171" spans="1:2">
      <c r="A171" s="251" t="s">
        <v>2349</v>
      </c>
      <c r="B171" s="250" t="s">
        <v>2350</v>
      </c>
    </row>
    <row r="172" spans="1:2">
      <c r="A172" s="251" t="s">
        <v>2351</v>
      </c>
      <c r="B172" s="250" t="s">
        <v>2352</v>
      </c>
    </row>
    <row r="173" spans="1:2">
      <c r="A173" s="251" t="s">
        <v>2353</v>
      </c>
      <c r="B173" s="250" t="s">
        <v>2354</v>
      </c>
    </row>
    <row r="174" spans="1:2">
      <c r="A174" s="251" t="s">
        <v>2355</v>
      </c>
      <c r="B174" s="250" t="s">
        <v>2356</v>
      </c>
    </row>
    <row r="175" spans="1:2">
      <c r="A175" s="251" t="s">
        <v>2357</v>
      </c>
      <c r="B175" s="250" t="s">
        <v>2358</v>
      </c>
    </row>
    <row r="176" spans="1:2">
      <c r="A176" s="251" t="s">
        <v>2359</v>
      </c>
      <c r="B176" s="250" t="s">
        <v>2360</v>
      </c>
    </row>
    <row r="177" spans="1:2">
      <c r="A177" s="251" t="s">
        <v>2361</v>
      </c>
      <c r="B177" s="250" t="s">
        <v>2362</v>
      </c>
    </row>
    <row r="178" spans="1:2">
      <c r="A178" s="251" t="s">
        <v>2363</v>
      </c>
      <c r="B178" s="250" t="s">
        <v>2364</v>
      </c>
    </row>
    <row r="179" spans="1:2">
      <c r="A179" s="251" t="s">
        <v>2365</v>
      </c>
      <c r="B179" s="250" t="s">
        <v>2366</v>
      </c>
    </row>
    <row r="180" spans="1:2">
      <c r="A180" s="251" t="s">
        <v>2367</v>
      </c>
      <c r="B180" s="250" t="s">
        <v>2368</v>
      </c>
    </row>
    <row r="181" spans="1:2">
      <c r="A181" s="251" t="s">
        <v>2369</v>
      </c>
      <c r="B181" s="250" t="s">
        <v>2370</v>
      </c>
    </row>
    <row r="182" spans="1:2">
      <c r="A182" s="251" t="s">
        <v>2371</v>
      </c>
      <c r="B182" s="250" t="s">
        <v>2372</v>
      </c>
    </row>
    <row r="183" spans="1:2">
      <c r="A183" s="251" t="s">
        <v>2373</v>
      </c>
      <c r="B183" s="250" t="s">
        <v>2374</v>
      </c>
    </row>
    <row r="184" spans="1:2">
      <c r="A184" s="251" t="s">
        <v>2375</v>
      </c>
      <c r="B184" s="250" t="s">
        <v>2376</v>
      </c>
    </row>
    <row r="185" spans="1:2">
      <c r="A185" s="251" t="s">
        <v>2377</v>
      </c>
      <c r="B185" s="250" t="s">
        <v>2378</v>
      </c>
    </row>
    <row r="186" spans="1:2">
      <c r="A186" s="251" t="s">
        <v>2379</v>
      </c>
      <c r="B186" s="250" t="s">
        <v>2380</v>
      </c>
    </row>
    <row r="187" spans="1:2">
      <c r="A187" s="251" t="s">
        <v>2381</v>
      </c>
      <c r="B187" s="250" t="s">
        <v>2382</v>
      </c>
    </row>
    <row r="188" spans="1:2">
      <c r="A188" s="251" t="s">
        <v>2383</v>
      </c>
      <c r="B188" s="250" t="s">
        <v>2384</v>
      </c>
    </row>
    <row r="189" spans="1:2">
      <c r="A189" s="251" t="s">
        <v>2385</v>
      </c>
      <c r="B189" s="250" t="s">
        <v>2386</v>
      </c>
    </row>
    <row r="190" spans="1:2">
      <c r="A190" s="251" t="s">
        <v>2387</v>
      </c>
      <c r="B190" s="250" t="s">
        <v>2388</v>
      </c>
    </row>
    <row r="191" spans="1:2">
      <c r="A191" s="251" t="s">
        <v>2389</v>
      </c>
      <c r="B191" s="250" t="s">
        <v>2390</v>
      </c>
    </row>
    <row r="192" spans="1:2">
      <c r="A192" s="251" t="s">
        <v>2391</v>
      </c>
      <c r="B192" s="250" t="s">
        <v>2392</v>
      </c>
    </row>
    <row r="193" spans="1:2">
      <c r="A193" s="251" t="s">
        <v>2393</v>
      </c>
      <c r="B193" s="250" t="s">
        <v>2394</v>
      </c>
    </row>
    <row r="194" spans="1:2">
      <c r="A194" s="251" t="s">
        <v>2395</v>
      </c>
      <c r="B194" s="250" t="s">
        <v>2396</v>
      </c>
    </row>
    <row r="195" spans="1:2">
      <c r="A195" s="251" t="s">
        <v>2397</v>
      </c>
      <c r="B195" s="250" t="s">
        <v>2398</v>
      </c>
    </row>
    <row r="196" spans="1:2">
      <c r="A196" s="251" t="s">
        <v>2399</v>
      </c>
      <c r="B196" s="250" t="s">
        <v>2400</v>
      </c>
    </row>
    <row r="197" spans="1:2">
      <c r="A197" s="251" t="s">
        <v>2401</v>
      </c>
      <c r="B197" s="250" t="s">
        <v>2402</v>
      </c>
    </row>
    <row r="198" spans="1:2">
      <c r="A198" s="251" t="s">
        <v>2403</v>
      </c>
      <c r="B198" s="250" t="s">
        <v>2404</v>
      </c>
    </row>
    <row r="199" spans="1:2">
      <c r="A199" s="251" t="s">
        <v>2405</v>
      </c>
      <c r="B199" s="250" t="s">
        <v>2406</v>
      </c>
    </row>
    <row r="200" spans="1:2">
      <c r="A200" s="251" t="s">
        <v>2407</v>
      </c>
      <c r="B200" s="250" t="s">
        <v>2408</v>
      </c>
    </row>
    <row r="201" spans="1:2">
      <c r="A201" s="251" t="s">
        <v>2409</v>
      </c>
      <c r="B201" s="250" t="s">
        <v>2410</v>
      </c>
    </row>
    <row r="202" spans="1:2">
      <c r="A202" s="251" t="s">
        <v>2411</v>
      </c>
      <c r="B202" s="250" t="s">
        <v>2412</v>
      </c>
    </row>
    <row r="203" spans="1:2">
      <c r="A203" s="251" t="s">
        <v>2413</v>
      </c>
      <c r="B203" s="250" t="s">
        <v>2414</v>
      </c>
    </row>
    <row r="204" spans="1:2">
      <c r="A204" s="251" t="s">
        <v>2415</v>
      </c>
      <c r="B204" s="250" t="s">
        <v>2416</v>
      </c>
    </row>
    <row r="205" spans="1:2">
      <c r="A205" s="251" t="s">
        <v>2417</v>
      </c>
      <c r="B205" s="250" t="s">
        <v>2418</v>
      </c>
    </row>
    <row r="206" spans="1:2">
      <c r="A206" s="251" t="s">
        <v>2419</v>
      </c>
      <c r="B206" s="250" t="s">
        <v>2420</v>
      </c>
    </row>
    <row r="207" spans="1:2">
      <c r="A207" s="246" t="s">
        <v>2110</v>
      </c>
      <c r="B207" s="247" t="s">
        <v>2111</v>
      </c>
    </row>
    <row r="208" spans="1:2">
      <c r="A208" s="251" t="s">
        <v>2421</v>
      </c>
      <c r="B208" s="250" t="s">
        <v>2422</v>
      </c>
    </row>
    <row r="209" spans="1:2">
      <c r="A209" s="251" t="s">
        <v>2423</v>
      </c>
      <c r="B209" s="250" t="s">
        <v>2424</v>
      </c>
    </row>
    <row r="210" spans="1:2">
      <c r="A210" s="251" t="s">
        <v>2425</v>
      </c>
      <c r="B210" s="250" t="s">
        <v>2426</v>
      </c>
    </row>
    <row r="211" spans="1:2">
      <c r="A211" s="251" t="s">
        <v>2427</v>
      </c>
      <c r="B211" s="250" t="s">
        <v>2428</v>
      </c>
    </row>
    <row r="212" spans="1:2">
      <c r="A212" s="251" t="s">
        <v>2429</v>
      </c>
      <c r="B212" s="250" t="s">
        <v>2430</v>
      </c>
    </row>
    <row r="213" spans="1:2">
      <c r="A213" s="251" t="s">
        <v>2431</v>
      </c>
      <c r="B213" s="250" t="s">
        <v>2432</v>
      </c>
    </row>
    <row r="214" spans="1:2">
      <c r="A214" s="251" t="s">
        <v>2433</v>
      </c>
      <c r="B214" s="250" t="s">
        <v>2434</v>
      </c>
    </row>
    <row r="215" spans="1:2">
      <c r="A215" s="251" t="s">
        <v>2435</v>
      </c>
      <c r="B215" s="250" t="s">
        <v>2436</v>
      </c>
    </row>
    <row r="216" spans="1:2">
      <c r="A216" s="251" t="s">
        <v>2437</v>
      </c>
      <c r="B216" s="250" t="s">
        <v>2438</v>
      </c>
    </row>
    <row r="217" spans="1:2">
      <c r="A217" s="251" t="s">
        <v>2439</v>
      </c>
      <c r="B217" s="250" t="s">
        <v>2440</v>
      </c>
    </row>
    <row r="218" spans="1:2">
      <c r="A218" s="251" t="s">
        <v>2441</v>
      </c>
      <c r="B218" s="250" t="s">
        <v>2442</v>
      </c>
    </row>
    <row r="219" spans="1:2">
      <c r="A219" s="251" t="s">
        <v>2443</v>
      </c>
      <c r="B219" s="250" t="s">
        <v>2444</v>
      </c>
    </row>
    <row r="220" spans="1:2">
      <c r="A220" s="251" t="s">
        <v>2445</v>
      </c>
      <c r="B220" s="250" t="s">
        <v>2446</v>
      </c>
    </row>
    <row r="221" spans="1:2">
      <c r="A221" s="251" t="s">
        <v>2447</v>
      </c>
      <c r="B221" s="250" t="s">
        <v>2448</v>
      </c>
    </row>
    <row r="222" spans="1:2">
      <c r="A222" s="251" t="s">
        <v>2449</v>
      </c>
      <c r="B222" s="250" t="s">
        <v>2450</v>
      </c>
    </row>
    <row r="223" spans="1:2">
      <c r="A223" s="251" t="s">
        <v>2451</v>
      </c>
      <c r="B223" s="250" t="s">
        <v>2452</v>
      </c>
    </row>
    <row r="224" spans="1:2">
      <c r="A224" s="251" t="s">
        <v>2453</v>
      </c>
      <c r="B224" s="250" t="s">
        <v>2454</v>
      </c>
    </row>
    <row r="225" spans="1:2">
      <c r="A225" s="251" t="s">
        <v>2455</v>
      </c>
      <c r="B225" s="250" t="s">
        <v>2456</v>
      </c>
    </row>
    <row r="226" spans="1:2">
      <c r="A226" s="246" t="s">
        <v>128</v>
      </c>
      <c r="B226" s="247" t="s">
        <v>1937</v>
      </c>
    </row>
    <row r="227" spans="1:2">
      <c r="A227" s="251" t="s">
        <v>835</v>
      </c>
      <c r="B227" s="250" t="s">
        <v>836</v>
      </c>
    </row>
    <row r="228" spans="1:2">
      <c r="A228" s="251" t="s">
        <v>837</v>
      </c>
      <c r="B228" s="250" t="s">
        <v>838</v>
      </c>
    </row>
    <row r="229" spans="1:2">
      <c r="A229" s="251" t="s">
        <v>839</v>
      </c>
      <c r="B229" s="250" t="s">
        <v>840</v>
      </c>
    </row>
    <row r="230" spans="1:2">
      <c r="A230" s="251" t="s">
        <v>841</v>
      </c>
      <c r="B230" s="250" t="s">
        <v>842</v>
      </c>
    </row>
    <row r="231" spans="1:2">
      <c r="A231" s="251" t="s">
        <v>843</v>
      </c>
      <c r="B231" s="250" t="s">
        <v>844</v>
      </c>
    </row>
    <row r="232" spans="1:2">
      <c r="A232" s="251" t="s">
        <v>845</v>
      </c>
      <c r="B232" s="250" t="s">
        <v>846</v>
      </c>
    </row>
    <row r="233" spans="1:2">
      <c r="A233" s="251" t="s">
        <v>847</v>
      </c>
      <c r="B233" s="250" t="s">
        <v>848</v>
      </c>
    </row>
    <row r="234" spans="1:2">
      <c r="A234" s="251" t="s">
        <v>1498</v>
      </c>
      <c r="B234" s="250" t="s">
        <v>1499</v>
      </c>
    </row>
    <row r="235" spans="1:2">
      <c r="A235" s="251" t="s">
        <v>1500</v>
      </c>
      <c r="B235" s="250" t="s">
        <v>1501</v>
      </c>
    </row>
    <row r="236" spans="1:2">
      <c r="A236" s="251" t="s">
        <v>1502</v>
      </c>
      <c r="B236" s="250" t="s">
        <v>1503</v>
      </c>
    </row>
    <row r="237" spans="1:2">
      <c r="A237" s="251" t="s">
        <v>1504</v>
      </c>
      <c r="B237" s="250" t="s">
        <v>1505</v>
      </c>
    </row>
    <row r="238" spans="1:2">
      <c r="A238" s="251" t="s">
        <v>1506</v>
      </c>
      <c r="B238" s="250" t="s">
        <v>1507</v>
      </c>
    </row>
    <row r="239" spans="1:2">
      <c r="A239" s="251" t="s">
        <v>2457</v>
      </c>
      <c r="B239" s="250" t="s">
        <v>2458</v>
      </c>
    </row>
    <row r="240" spans="1:2">
      <c r="A240" s="251" t="s">
        <v>2459</v>
      </c>
      <c r="B240" s="250" t="s">
        <v>2460</v>
      </c>
    </row>
    <row r="241" spans="1:2">
      <c r="A241" s="251" t="s">
        <v>2461</v>
      </c>
      <c r="B241" s="250" t="s">
        <v>2462</v>
      </c>
    </row>
    <row r="242" spans="1:2">
      <c r="A242" s="251" t="s">
        <v>2463</v>
      </c>
      <c r="B242" s="250" t="s">
        <v>2464</v>
      </c>
    </row>
    <row r="243" spans="1:2">
      <c r="A243" s="251" t="s">
        <v>2465</v>
      </c>
      <c r="B243" s="250" t="s">
        <v>2466</v>
      </c>
    </row>
    <row r="244" spans="1:2">
      <c r="A244" s="251" t="s">
        <v>2467</v>
      </c>
      <c r="B244" s="250" t="s">
        <v>2468</v>
      </c>
    </row>
    <row r="245" spans="1:2">
      <c r="A245" s="251" t="s">
        <v>2469</v>
      </c>
      <c r="B245" s="250" t="s">
        <v>2470</v>
      </c>
    </row>
    <row r="246" spans="1:2">
      <c r="A246" s="251" t="s">
        <v>2471</v>
      </c>
      <c r="B246" s="250" t="s">
        <v>2472</v>
      </c>
    </row>
    <row r="247" spans="1:2">
      <c r="A247" s="246" t="s">
        <v>134</v>
      </c>
      <c r="B247" s="247" t="s">
        <v>1938</v>
      </c>
    </row>
    <row r="248" spans="1:2">
      <c r="A248" s="251" t="s">
        <v>849</v>
      </c>
      <c r="B248" s="250" t="s">
        <v>850</v>
      </c>
    </row>
    <row r="249" spans="1:2">
      <c r="A249" s="251" t="s">
        <v>851</v>
      </c>
      <c r="B249" s="250" t="s">
        <v>852</v>
      </c>
    </row>
    <row r="250" spans="1:2">
      <c r="A250" s="251" t="s">
        <v>1508</v>
      </c>
      <c r="B250" s="250" t="s">
        <v>1509</v>
      </c>
    </row>
    <row r="251" spans="1:2">
      <c r="A251" s="251" t="s">
        <v>1510</v>
      </c>
      <c r="B251" s="250" t="s">
        <v>1511</v>
      </c>
    </row>
    <row r="252" spans="1:2">
      <c r="A252" s="251" t="s">
        <v>2473</v>
      </c>
      <c r="B252" s="250" t="s">
        <v>2474</v>
      </c>
    </row>
    <row r="253" spans="1:2">
      <c r="A253" s="251" t="s">
        <v>2475</v>
      </c>
      <c r="B253" s="250" t="s">
        <v>2476</v>
      </c>
    </row>
    <row r="254" spans="1:2">
      <c r="A254" s="251" t="s">
        <v>2477</v>
      </c>
      <c r="B254" s="250" t="s">
        <v>2478</v>
      </c>
    </row>
    <row r="255" spans="1:2">
      <c r="A255" s="251" t="s">
        <v>2479</v>
      </c>
      <c r="B255" s="250" t="s">
        <v>2480</v>
      </c>
    </row>
    <row r="256" spans="1:2">
      <c r="A256" s="251" t="s">
        <v>2481</v>
      </c>
      <c r="B256" s="250" t="s">
        <v>2482</v>
      </c>
    </row>
    <row r="257" spans="1:2">
      <c r="A257" s="246" t="s">
        <v>136</v>
      </c>
      <c r="B257" s="247" t="s">
        <v>1939</v>
      </c>
    </row>
    <row r="258" spans="1:2">
      <c r="A258" s="251" t="s">
        <v>853</v>
      </c>
      <c r="B258" s="250" t="s">
        <v>854</v>
      </c>
    </row>
    <row r="259" spans="1:2">
      <c r="A259" s="251" t="s">
        <v>855</v>
      </c>
      <c r="B259" s="250" t="s">
        <v>856</v>
      </c>
    </row>
    <row r="260" spans="1:2">
      <c r="A260" s="251" t="s">
        <v>857</v>
      </c>
      <c r="B260" s="250" t="s">
        <v>858</v>
      </c>
    </row>
    <row r="261" spans="1:2">
      <c r="A261" s="251" t="s">
        <v>2483</v>
      </c>
      <c r="B261" s="250" t="s">
        <v>2484</v>
      </c>
    </row>
    <row r="262" spans="1:2">
      <c r="A262" s="251" t="s">
        <v>2485</v>
      </c>
      <c r="B262" s="250" t="s">
        <v>2486</v>
      </c>
    </row>
    <row r="263" spans="1:2">
      <c r="A263" s="251" t="s">
        <v>2487</v>
      </c>
      <c r="B263" s="250" t="s">
        <v>2488</v>
      </c>
    </row>
    <row r="264" spans="1:2">
      <c r="A264" s="251" t="s">
        <v>2489</v>
      </c>
      <c r="B264" s="250" t="s">
        <v>2490</v>
      </c>
    </row>
    <row r="265" spans="1:2">
      <c r="A265" s="251" t="s">
        <v>2491</v>
      </c>
      <c r="B265" s="250" t="s">
        <v>2492</v>
      </c>
    </row>
    <row r="266" spans="1:2">
      <c r="A266" s="251" t="s">
        <v>2493</v>
      </c>
      <c r="B266" s="250" t="s">
        <v>2494</v>
      </c>
    </row>
    <row r="267" spans="1:2">
      <c r="A267" s="251" t="s">
        <v>2495</v>
      </c>
      <c r="B267" s="250" t="s">
        <v>2496</v>
      </c>
    </row>
    <row r="268" spans="1:2">
      <c r="A268" s="251" t="s">
        <v>2497</v>
      </c>
      <c r="B268" s="250" t="s">
        <v>2498</v>
      </c>
    </row>
    <row r="269" spans="1:2">
      <c r="A269" s="251" t="s">
        <v>2499</v>
      </c>
      <c r="B269" s="250" t="s">
        <v>2500</v>
      </c>
    </row>
    <row r="270" spans="1:2">
      <c r="A270" s="251" t="s">
        <v>2501</v>
      </c>
      <c r="B270" s="250" t="s">
        <v>2502</v>
      </c>
    </row>
    <row r="271" spans="1:2">
      <c r="A271" s="251" t="s">
        <v>2503</v>
      </c>
      <c r="B271" s="250" t="s">
        <v>2504</v>
      </c>
    </row>
    <row r="272" spans="1:2">
      <c r="A272" s="251" t="s">
        <v>2505</v>
      </c>
      <c r="B272" s="250" t="s">
        <v>2506</v>
      </c>
    </row>
    <row r="273" spans="1:2">
      <c r="A273" s="246" t="s">
        <v>138</v>
      </c>
      <c r="B273" s="247" t="s">
        <v>2112</v>
      </c>
    </row>
    <row r="274" spans="1:2">
      <c r="A274" s="251" t="s">
        <v>859</v>
      </c>
      <c r="B274" s="250" t="s">
        <v>860</v>
      </c>
    </row>
    <row r="275" spans="1:2">
      <c r="A275" s="251" t="s">
        <v>861</v>
      </c>
      <c r="B275" s="250" t="s">
        <v>862</v>
      </c>
    </row>
    <row r="276" spans="1:2">
      <c r="A276" s="251" t="s">
        <v>863</v>
      </c>
      <c r="B276" s="250" t="s">
        <v>864</v>
      </c>
    </row>
    <row r="277" spans="1:2">
      <c r="A277" s="251" t="s">
        <v>865</v>
      </c>
      <c r="B277" s="250" t="s">
        <v>866</v>
      </c>
    </row>
    <row r="278" spans="1:2">
      <c r="A278" s="251" t="s">
        <v>867</v>
      </c>
      <c r="B278" s="250" t="s">
        <v>868</v>
      </c>
    </row>
    <row r="279" spans="1:2">
      <c r="A279" s="251" t="s">
        <v>869</v>
      </c>
      <c r="B279" s="250" t="s">
        <v>870</v>
      </c>
    </row>
    <row r="280" spans="1:2">
      <c r="A280" s="251" t="s">
        <v>871</v>
      </c>
      <c r="B280" s="250" t="s">
        <v>872</v>
      </c>
    </row>
    <row r="281" spans="1:2">
      <c r="A281" s="251" t="s">
        <v>873</v>
      </c>
      <c r="B281" s="250" t="s">
        <v>874</v>
      </c>
    </row>
    <row r="282" spans="1:2">
      <c r="A282" s="251" t="s">
        <v>875</v>
      </c>
      <c r="B282" s="250" t="s">
        <v>876</v>
      </c>
    </row>
    <row r="283" spans="1:2">
      <c r="A283" s="251" t="s">
        <v>877</v>
      </c>
      <c r="B283" s="250" t="s">
        <v>878</v>
      </c>
    </row>
    <row r="284" spans="1:2">
      <c r="A284" s="251" t="s">
        <v>879</v>
      </c>
      <c r="B284" s="250" t="s">
        <v>880</v>
      </c>
    </row>
    <row r="285" spans="1:2">
      <c r="A285" s="251" t="s">
        <v>881</v>
      </c>
      <c r="B285" s="250" t="s">
        <v>882</v>
      </c>
    </row>
    <row r="286" spans="1:2">
      <c r="A286" s="251" t="s">
        <v>883</v>
      </c>
      <c r="B286" s="250" t="s">
        <v>884</v>
      </c>
    </row>
    <row r="287" spans="1:2">
      <c r="A287" s="251" t="s">
        <v>885</v>
      </c>
      <c r="B287" s="250" t="s">
        <v>886</v>
      </c>
    </row>
    <row r="288" spans="1:2">
      <c r="A288" s="251" t="s">
        <v>887</v>
      </c>
      <c r="B288" s="250" t="s">
        <v>888</v>
      </c>
    </row>
    <row r="289" spans="1:2">
      <c r="A289" s="251" t="s">
        <v>889</v>
      </c>
      <c r="B289" s="250" t="s">
        <v>890</v>
      </c>
    </row>
    <row r="290" spans="1:2">
      <c r="A290" s="251" t="s">
        <v>891</v>
      </c>
      <c r="B290" s="250" t="s">
        <v>892</v>
      </c>
    </row>
    <row r="291" spans="1:2">
      <c r="A291" s="251" t="s">
        <v>893</v>
      </c>
      <c r="B291" s="250" t="s">
        <v>894</v>
      </c>
    </row>
    <row r="292" spans="1:2">
      <c r="A292" s="251" t="s">
        <v>895</v>
      </c>
      <c r="B292" s="250" t="s">
        <v>896</v>
      </c>
    </row>
    <row r="293" spans="1:2">
      <c r="A293" s="251" t="s">
        <v>897</v>
      </c>
      <c r="B293" s="250" t="s">
        <v>898</v>
      </c>
    </row>
    <row r="294" spans="1:2">
      <c r="A294" s="251" t="s">
        <v>899</v>
      </c>
      <c r="B294" s="250" t="s">
        <v>900</v>
      </c>
    </row>
    <row r="295" spans="1:2">
      <c r="A295" s="251" t="s">
        <v>901</v>
      </c>
      <c r="B295" s="250" t="s">
        <v>902</v>
      </c>
    </row>
    <row r="296" spans="1:2">
      <c r="A296" s="251" t="s">
        <v>903</v>
      </c>
      <c r="B296" s="250" t="s">
        <v>902</v>
      </c>
    </row>
    <row r="297" spans="1:2">
      <c r="A297" s="251" t="s">
        <v>904</v>
      </c>
      <c r="B297" s="250" t="s">
        <v>905</v>
      </c>
    </row>
    <row r="298" spans="1:2">
      <c r="A298" s="251" t="s">
        <v>906</v>
      </c>
      <c r="B298" s="250" t="s">
        <v>905</v>
      </c>
    </row>
    <row r="299" spans="1:2">
      <c r="A299" s="251" t="s">
        <v>1512</v>
      </c>
      <c r="B299" s="250" t="s">
        <v>1513</v>
      </c>
    </row>
    <row r="300" spans="1:2">
      <c r="A300" s="251" t="s">
        <v>1514</v>
      </c>
      <c r="B300" s="250" t="s">
        <v>1515</v>
      </c>
    </row>
    <row r="301" spans="1:2">
      <c r="A301" s="251" t="s">
        <v>1516</v>
      </c>
      <c r="B301" s="250" t="s">
        <v>1517</v>
      </c>
    </row>
    <row r="302" spans="1:2">
      <c r="A302" s="251" t="s">
        <v>1518</v>
      </c>
      <c r="B302" s="250" t="s">
        <v>1519</v>
      </c>
    </row>
    <row r="303" spans="1:2">
      <c r="A303" s="251" t="s">
        <v>1520</v>
      </c>
      <c r="B303" s="250" t="s">
        <v>1521</v>
      </c>
    </row>
    <row r="304" spans="1:2">
      <c r="A304" s="251" t="s">
        <v>1522</v>
      </c>
      <c r="B304" s="250" t="s">
        <v>1523</v>
      </c>
    </row>
    <row r="305" spans="1:2">
      <c r="A305" s="251" t="s">
        <v>1524</v>
      </c>
      <c r="B305" s="250" t="s">
        <v>1525</v>
      </c>
    </row>
    <row r="306" spans="1:2">
      <c r="A306" s="251" t="s">
        <v>1526</v>
      </c>
      <c r="B306" s="250" t="s">
        <v>1527</v>
      </c>
    </row>
    <row r="307" spans="1:2">
      <c r="A307" s="251" t="s">
        <v>1528</v>
      </c>
      <c r="B307" s="250" t="s">
        <v>1529</v>
      </c>
    </row>
    <row r="308" spans="1:2">
      <c r="A308" s="251" t="s">
        <v>1530</v>
      </c>
      <c r="B308" s="250" t="s">
        <v>1531</v>
      </c>
    </row>
    <row r="309" spans="1:2">
      <c r="A309" s="251" t="s">
        <v>1532</v>
      </c>
      <c r="B309" s="250" t="s">
        <v>1533</v>
      </c>
    </row>
    <row r="310" spans="1:2">
      <c r="A310" s="251" t="s">
        <v>1534</v>
      </c>
      <c r="B310" s="250" t="s">
        <v>1535</v>
      </c>
    </row>
    <row r="311" spans="1:2">
      <c r="A311" s="251" t="s">
        <v>1536</v>
      </c>
      <c r="B311" s="250" t="s">
        <v>1537</v>
      </c>
    </row>
    <row r="312" spans="1:2">
      <c r="A312" s="251" t="s">
        <v>1538</v>
      </c>
      <c r="B312" s="250" t="s">
        <v>1539</v>
      </c>
    </row>
    <row r="313" spans="1:2">
      <c r="A313" s="251" t="s">
        <v>1540</v>
      </c>
      <c r="B313" s="250" t="s">
        <v>1541</v>
      </c>
    </row>
    <row r="314" spans="1:2">
      <c r="A314" s="251" t="s">
        <v>1542</v>
      </c>
      <c r="B314" s="250" t="s">
        <v>1543</v>
      </c>
    </row>
    <row r="315" spans="1:2">
      <c r="A315" s="251" t="s">
        <v>1544</v>
      </c>
      <c r="B315" s="250" t="s">
        <v>1545</v>
      </c>
    </row>
    <row r="316" spans="1:2">
      <c r="A316" s="251" t="s">
        <v>1546</v>
      </c>
      <c r="B316" s="250" t="s">
        <v>1547</v>
      </c>
    </row>
    <row r="317" spans="1:2">
      <c r="A317" s="251" t="s">
        <v>1548</v>
      </c>
      <c r="B317" s="250" t="s">
        <v>1549</v>
      </c>
    </row>
    <row r="318" spans="1:2">
      <c r="A318" s="251" t="s">
        <v>1550</v>
      </c>
      <c r="B318" s="250" t="s">
        <v>1551</v>
      </c>
    </row>
    <row r="319" spans="1:2">
      <c r="A319" s="251" t="s">
        <v>1552</v>
      </c>
      <c r="B319" s="250" t="s">
        <v>1553</v>
      </c>
    </row>
    <row r="320" spans="1:2">
      <c r="A320" s="251" t="s">
        <v>1554</v>
      </c>
      <c r="B320" s="250" t="s">
        <v>1555</v>
      </c>
    </row>
    <row r="321" spans="1:2">
      <c r="A321" s="251" t="s">
        <v>1556</v>
      </c>
      <c r="B321" s="250" t="s">
        <v>1557</v>
      </c>
    </row>
    <row r="322" spans="1:2">
      <c r="A322" s="251" t="s">
        <v>1558</v>
      </c>
      <c r="B322" s="250" t="s">
        <v>1559</v>
      </c>
    </row>
    <row r="323" spans="1:2">
      <c r="A323" s="251" t="s">
        <v>1560</v>
      </c>
      <c r="B323" s="250" t="s">
        <v>1561</v>
      </c>
    </row>
    <row r="324" spans="1:2">
      <c r="A324" s="251" t="s">
        <v>1562</v>
      </c>
      <c r="B324" s="250" t="s">
        <v>1563</v>
      </c>
    </row>
    <row r="325" spans="1:2">
      <c r="A325" s="251" t="s">
        <v>1564</v>
      </c>
      <c r="B325" s="250" t="s">
        <v>1565</v>
      </c>
    </row>
    <row r="326" spans="1:2">
      <c r="A326" s="251" t="s">
        <v>1566</v>
      </c>
      <c r="B326" s="250" t="s">
        <v>1567</v>
      </c>
    </row>
    <row r="327" spans="1:2">
      <c r="A327" s="251" t="s">
        <v>1568</v>
      </c>
      <c r="B327" s="250" t="s">
        <v>1569</v>
      </c>
    </row>
    <row r="328" spans="1:2">
      <c r="A328" s="251" t="s">
        <v>1570</v>
      </c>
      <c r="B328" s="250" t="s">
        <v>1571</v>
      </c>
    </row>
    <row r="329" spans="1:2">
      <c r="A329" s="251" t="s">
        <v>1572</v>
      </c>
      <c r="B329" s="250" t="s">
        <v>1573</v>
      </c>
    </row>
    <row r="330" spans="1:2">
      <c r="A330" s="251" t="s">
        <v>2507</v>
      </c>
      <c r="B330" s="250" t="s">
        <v>2508</v>
      </c>
    </row>
    <row r="331" spans="1:2">
      <c r="A331" s="251" t="s">
        <v>2509</v>
      </c>
      <c r="B331" s="250" t="s">
        <v>2510</v>
      </c>
    </row>
    <row r="332" spans="1:2">
      <c r="A332" s="251" t="s">
        <v>2511</v>
      </c>
      <c r="B332" s="250" t="s">
        <v>2512</v>
      </c>
    </row>
    <row r="333" spans="1:2">
      <c r="A333" s="251" t="s">
        <v>2513</v>
      </c>
      <c r="B333" s="250" t="s">
        <v>2514</v>
      </c>
    </row>
    <row r="334" spans="1:2">
      <c r="A334" s="251" t="s">
        <v>2515</v>
      </c>
      <c r="B334" s="250" t="s">
        <v>2516</v>
      </c>
    </row>
    <row r="335" spans="1:2">
      <c r="A335" s="251" t="s">
        <v>2517</v>
      </c>
      <c r="B335" s="250" t="s">
        <v>2518</v>
      </c>
    </row>
    <row r="336" spans="1:2">
      <c r="A336" s="251" t="s">
        <v>2519</v>
      </c>
      <c r="B336" s="250" t="s">
        <v>2520</v>
      </c>
    </row>
    <row r="337" spans="1:2">
      <c r="A337" s="251" t="s">
        <v>2521</v>
      </c>
      <c r="B337" s="250" t="s">
        <v>2522</v>
      </c>
    </row>
    <row r="338" spans="1:2">
      <c r="A338" s="251" t="s">
        <v>2523</v>
      </c>
      <c r="B338" s="250" t="s">
        <v>2524</v>
      </c>
    </row>
    <row r="339" spans="1:2">
      <c r="A339" s="251" t="s">
        <v>2525</v>
      </c>
      <c r="B339" s="250" t="s">
        <v>2526</v>
      </c>
    </row>
    <row r="340" spans="1:2">
      <c r="A340" s="251" t="s">
        <v>2527</v>
      </c>
      <c r="B340" s="250" t="s">
        <v>2528</v>
      </c>
    </row>
    <row r="341" spans="1:2">
      <c r="A341" s="251" t="s">
        <v>2529</v>
      </c>
      <c r="B341" s="250" t="s">
        <v>2530</v>
      </c>
    </row>
    <row r="342" spans="1:2">
      <c r="A342" s="251" t="s">
        <v>2531</v>
      </c>
      <c r="B342" s="250" t="s">
        <v>2532</v>
      </c>
    </row>
    <row r="343" spans="1:2">
      <c r="A343" s="251" t="s">
        <v>2533</v>
      </c>
      <c r="B343" s="250" t="s">
        <v>2534</v>
      </c>
    </row>
    <row r="344" spans="1:2">
      <c r="A344" s="251" t="s">
        <v>2535</v>
      </c>
      <c r="B344" s="250" t="s">
        <v>2536</v>
      </c>
    </row>
    <row r="345" spans="1:2">
      <c r="A345" s="251" t="s">
        <v>2537</v>
      </c>
      <c r="B345" s="250" t="s">
        <v>2538</v>
      </c>
    </row>
    <row r="346" spans="1:2">
      <c r="A346" s="251" t="s">
        <v>2539</v>
      </c>
      <c r="B346" s="250" t="s">
        <v>2540</v>
      </c>
    </row>
    <row r="347" spans="1:2">
      <c r="A347" s="251" t="s">
        <v>2541</v>
      </c>
      <c r="B347" s="250" t="s">
        <v>2542</v>
      </c>
    </row>
    <row r="348" spans="1:2">
      <c r="A348" s="251" t="s">
        <v>2543</v>
      </c>
      <c r="B348" s="250" t="s">
        <v>2544</v>
      </c>
    </row>
    <row r="349" spans="1:2">
      <c r="A349" s="251" t="s">
        <v>2545</v>
      </c>
      <c r="B349" s="250" t="s">
        <v>2546</v>
      </c>
    </row>
    <row r="350" spans="1:2">
      <c r="A350" s="251" t="s">
        <v>2547</v>
      </c>
      <c r="B350" s="250" t="s">
        <v>2548</v>
      </c>
    </row>
    <row r="351" spans="1:2">
      <c r="A351" s="251" t="s">
        <v>2549</v>
      </c>
      <c r="B351" s="250" t="s">
        <v>2550</v>
      </c>
    </row>
    <row r="352" spans="1:2">
      <c r="A352" s="251" t="s">
        <v>2551</v>
      </c>
      <c r="B352" s="250" t="s">
        <v>2552</v>
      </c>
    </row>
    <row r="353" spans="1:2">
      <c r="A353" s="251" t="s">
        <v>2553</v>
      </c>
      <c r="B353" s="250" t="s">
        <v>2554</v>
      </c>
    </row>
    <row r="354" spans="1:2">
      <c r="A354" s="251" t="s">
        <v>2555</v>
      </c>
      <c r="B354" s="250" t="s">
        <v>2556</v>
      </c>
    </row>
    <row r="355" spans="1:2">
      <c r="A355" s="251" t="s">
        <v>2557</v>
      </c>
      <c r="B355" s="250" t="s">
        <v>2558</v>
      </c>
    </row>
    <row r="356" spans="1:2">
      <c r="A356" s="251" t="s">
        <v>2559</v>
      </c>
      <c r="B356" s="250" t="s">
        <v>2560</v>
      </c>
    </row>
    <row r="357" spans="1:2">
      <c r="A357" s="251" t="s">
        <v>2561</v>
      </c>
      <c r="B357" s="250" t="s">
        <v>2562</v>
      </c>
    </row>
    <row r="358" spans="1:2">
      <c r="A358" s="251" t="s">
        <v>2563</v>
      </c>
      <c r="B358" s="250" t="s">
        <v>2564</v>
      </c>
    </row>
    <row r="359" spans="1:2">
      <c r="A359" s="251" t="s">
        <v>2565</v>
      </c>
      <c r="B359" s="250" t="s">
        <v>2566</v>
      </c>
    </row>
    <row r="360" spans="1:2">
      <c r="A360" s="251" t="s">
        <v>2567</v>
      </c>
      <c r="B360" s="250" t="s">
        <v>992</v>
      </c>
    </row>
    <row r="361" spans="1:2">
      <c r="A361" s="251" t="s">
        <v>2568</v>
      </c>
      <c r="B361" s="250" t="s">
        <v>1285</v>
      </c>
    </row>
    <row r="362" spans="1:2">
      <c r="A362" s="251" t="s">
        <v>2569</v>
      </c>
      <c r="B362" s="250" t="s">
        <v>2570</v>
      </c>
    </row>
    <row r="363" spans="1:2">
      <c r="A363" s="251" t="s">
        <v>2571</v>
      </c>
      <c r="B363" s="250" t="s">
        <v>2572</v>
      </c>
    </row>
    <row r="364" spans="1:2">
      <c r="A364" s="251" t="s">
        <v>2573</v>
      </c>
      <c r="B364" s="250" t="s">
        <v>2574</v>
      </c>
    </row>
    <row r="365" spans="1:2">
      <c r="A365" s="251" t="s">
        <v>2575</v>
      </c>
      <c r="B365" s="250" t="s">
        <v>2576</v>
      </c>
    </row>
    <row r="366" spans="1:2">
      <c r="A366" s="251" t="s">
        <v>2577</v>
      </c>
      <c r="B366" s="250" t="s">
        <v>2578</v>
      </c>
    </row>
    <row r="367" spans="1:2">
      <c r="A367" s="251" t="s">
        <v>2579</v>
      </c>
      <c r="B367" s="250" t="s">
        <v>2580</v>
      </c>
    </row>
    <row r="368" spans="1:2">
      <c r="A368" s="251" t="s">
        <v>2581</v>
      </c>
      <c r="B368" s="250" t="s">
        <v>2582</v>
      </c>
    </row>
    <row r="369" spans="1:2">
      <c r="A369" s="251" t="s">
        <v>2583</v>
      </c>
      <c r="B369" s="250" t="s">
        <v>2584</v>
      </c>
    </row>
    <row r="370" spans="1:2">
      <c r="A370" s="251" t="s">
        <v>2585</v>
      </c>
      <c r="B370" s="250" t="s">
        <v>2586</v>
      </c>
    </row>
    <row r="371" spans="1:2">
      <c r="A371" s="251" t="s">
        <v>2587</v>
      </c>
      <c r="B371" s="250" t="s">
        <v>2588</v>
      </c>
    </row>
    <row r="372" spans="1:2">
      <c r="A372" s="251" t="s">
        <v>2589</v>
      </c>
      <c r="B372" s="250" t="s">
        <v>2590</v>
      </c>
    </row>
    <row r="373" spans="1:2">
      <c r="A373" s="251" t="s">
        <v>2591</v>
      </c>
      <c r="B373" s="250" t="s">
        <v>2592</v>
      </c>
    </row>
    <row r="374" spans="1:2">
      <c r="A374" s="246" t="s">
        <v>142</v>
      </c>
      <c r="B374" s="247" t="s">
        <v>2113</v>
      </c>
    </row>
    <row r="375" spans="1:2">
      <c r="A375" s="251" t="s">
        <v>907</v>
      </c>
      <c r="B375" s="250" t="s">
        <v>908</v>
      </c>
    </row>
    <row r="376" spans="1:2">
      <c r="A376" s="251" t="s">
        <v>909</v>
      </c>
      <c r="B376" s="250" t="s">
        <v>910</v>
      </c>
    </row>
    <row r="377" spans="1:2">
      <c r="A377" s="251" t="s">
        <v>911</v>
      </c>
      <c r="B377" s="250" t="s">
        <v>912</v>
      </c>
    </row>
    <row r="378" spans="1:2">
      <c r="A378" s="251" t="s">
        <v>913</v>
      </c>
      <c r="B378" s="250" t="s">
        <v>914</v>
      </c>
    </row>
    <row r="379" spans="1:2">
      <c r="A379" s="251" t="s">
        <v>915</v>
      </c>
      <c r="B379" s="250" t="s">
        <v>916</v>
      </c>
    </row>
    <row r="380" spans="1:2">
      <c r="A380" s="251" t="s">
        <v>917</v>
      </c>
      <c r="B380" s="250" t="s">
        <v>918</v>
      </c>
    </row>
    <row r="381" spans="1:2">
      <c r="A381" s="251" t="s">
        <v>919</v>
      </c>
      <c r="B381" s="250" t="s">
        <v>920</v>
      </c>
    </row>
    <row r="382" spans="1:2">
      <c r="A382" s="251" t="s">
        <v>921</v>
      </c>
      <c r="B382" s="250" t="s">
        <v>922</v>
      </c>
    </row>
    <row r="383" spans="1:2">
      <c r="A383" s="251" t="s">
        <v>923</v>
      </c>
      <c r="B383" s="250" t="s">
        <v>924</v>
      </c>
    </row>
    <row r="384" spans="1:2">
      <c r="A384" s="251" t="s">
        <v>925</v>
      </c>
      <c r="B384" s="250" t="s">
        <v>926</v>
      </c>
    </row>
    <row r="385" spans="1:2">
      <c r="A385" s="251" t="s">
        <v>927</v>
      </c>
      <c r="B385" s="250" t="s">
        <v>928</v>
      </c>
    </row>
    <row r="386" spans="1:2">
      <c r="A386" s="251" t="s">
        <v>929</v>
      </c>
      <c r="B386" s="250" t="s">
        <v>930</v>
      </c>
    </row>
    <row r="387" spans="1:2">
      <c r="A387" s="251" t="s">
        <v>931</v>
      </c>
      <c r="B387" s="250" t="s">
        <v>932</v>
      </c>
    </row>
    <row r="388" spans="1:2">
      <c r="A388" s="251" t="s">
        <v>933</v>
      </c>
      <c r="B388" s="250" t="s">
        <v>934</v>
      </c>
    </row>
    <row r="389" spans="1:2">
      <c r="A389" s="251" t="s">
        <v>935</v>
      </c>
      <c r="B389" s="250" t="s">
        <v>936</v>
      </c>
    </row>
    <row r="390" spans="1:2">
      <c r="A390" s="251" t="s">
        <v>937</v>
      </c>
      <c r="B390" s="250" t="s">
        <v>938</v>
      </c>
    </row>
    <row r="391" spans="1:2">
      <c r="A391" s="251" t="s">
        <v>939</v>
      </c>
      <c r="B391" s="250" t="s">
        <v>940</v>
      </c>
    </row>
    <row r="392" spans="1:2">
      <c r="A392" s="251" t="s">
        <v>941</v>
      </c>
      <c r="B392" s="250" t="s">
        <v>942</v>
      </c>
    </row>
    <row r="393" spans="1:2">
      <c r="A393" s="251" t="s">
        <v>943</v>
      </c>
      <c r="B393" s="250" t="s">
        <v>944</v>
      </c>
    </row>
    <row r="394" spans="1:2">
      <c r="A394" s="251" t="s">
        <v>945</v>
      </c>
      <c r="B394" s="250" t="s">
        <v>946</v>
      </c>
    </row>
    <row r="395" spans="1:2">
      <c r="A395" s="251" t="s">
        <v>947</v>
      </c>
      <c r="B395" s="250" t="s">
        <v>948</v>
      </c>
    </row>
    <row r="396" spans="1:2">
      <c r="A396" s="251" t="s">
        <v>949</v>
      </c>
      <c r="B396" s="250" t="s">
        <v>950</v>
      </c>
    </row>
    <row r="397" spans="1:2">
      <c r="A397" s="251" t="s">
        <v>951</v>
      </c>
      <c r="B397" s="250" t="s">
        <v>952</v>
      </c>
    </row>
    <row r="398" spans="1:2">
      <c r="A398" s="251" t="s">
        <v>953</v>
      </c>
      <c r="B398" s="250" t="s">
        <v>954</v>
      </c>
    </row>
    <row r="399" spans="1:2">
      <c r="A399" s="251" t="s">
        <v>955</v>
      </c>
      <c r="B399" s="250" t="s">
        <v>956</v>
      </c>
    </row>
    <row r="400" spans="1:2">
      <c r="A400" s="251" t="s">
        <v>957</v>
      </c>
      <c r="B400" s="250" t="s">
        <v>958</v>
      </c>
    </row>
    <row r="401" spans="1:2">
      <c r="A401" s="251" t="s">
        <v>959</v>
      </c>
      <c r="B401" s="250" t="s">
        <v>960</v>
      </c>
    </row>
    <row r="402" spans="1:2">
      <c r="A402" s="251" t="s">
        <v>961</v>
      </c>
      <c r="B402" s="250" t="s">
        <v>962</v>
      </c>
    </row>
    <row r="403" spans="1:2">
      <c r="A403" s="251" t="s">
        <v>963</v>
      </c>
      <c r="B403" s="250" t="s">
        <v>964</v>
      </c>
    </row>
    <row r="404" spans="1:2">
      <c r="A404" s="251" t="s">
        <v>965</v>
      </c>
      <c r="B404" s="250" t="s">
        <v>966</v>
      </c>
    </row>
    <row r="405" spans="1:2">
      <c r="A405" s="251" t="s">
        <v>967</v>
      </c>
      <c r="B405" s="250" t="s">
        <v>968</v>
      </c>
    </row>
    <row r="406" spans="1:2">
      <c r="A406" s="251" t="s">
        <v>969</v>
      </c>
      <c r="B406" s="250" t="s">
        <v>970</v>
      </c>
    </row>
    <row r="407" spans="1:2">
      <c r="A407" s="251" t="s">
        <v>971</v>
      </c>
      <c r="B407" s="250" t="s">
        <v>972</v>
      </c>
    </row>
    <row r="408" spans="1:2">
      <c r="A408" s="251" t="s">
        <v>973</v>
      </c>
      <c r="B408" s="250" t="s">
        <v>974</v>
      </c>
    </row>
    <row r="409" spans="1:2">
      <c r="A409" s="251" t="s">
        <v>975</v>
      </c>
      <c r="B409" s="250" t="s">
        <v>976</v>
      </c>
    </row>
    <row r="410" spans="1:2">
      <c r="A410" s="251" t="s">
        <v>1574</v>
      </c>
      <c r="B410" s="250" t="s">
        <v>1575</v>
      </c>
    </row>
    <row r="411" spans="1:2">
      <c r="A411" s="251" t="s">
        <v>1576</v>
      </c>
      <c r="B411" s="250" t="s">
        <v>1577</v>
      </c>
    </row>
    <row r="412" spans="1:2">
      <c r="A412" s="251" t="s">
        <v>1578</v>
      </c>
      <c r="B412" s="250" t="s">
        <v>1579</v>
      </c>
    </row>
    <row r="413" spans="1:2">
      <c r="A413" s="251" t="s">
        <v>1580</v>
      </c>
      <c r="B413" s="250" t="s">
        <v>1581</v>
      </c>
    </row>
    <row r="414" spans="1:2">
      <c r="A414" s="251" t="s">
        <v>1582</v>
      </c>
      <c r="B414" s="250" t="s">
        <v>1583</v>
      </c>
    </row>
    <row r="415" spans="1:2">
      <c r="A415" s="251" t="s">
        <v>1584</v>
      </c>
      <c r="B415" s="250" t="s">
        <v>1585</v>
      </c>
    </row>
    <row r="416" spans="1:2">
      <c r="A416" s="251" t="s">
        <v>1586</v>
      </c>
      <c r="B416" s="250" t="s">
        <v>1587</v>
      </c>
    </row>
    <row r="417" spans="1:2">
      <c r="A417" s="251" t="s">
        <v>1588</v>
      </c>
      <c r="B417" s="250" t="s">
        <v>1589</v>
      </c>
    </row>
    <row r="418" spans="1:2">
      <c r="A418" s="251" t="s">
        <v>1590</v>
      </c>
      <c r="B418" s="250" t="s">
        <v>1591</v>
      </c>
    </row>
    <row r="419" spans="1:2">
      <c r="A419" s="251" t="s">
        <v>1592</v>
      </c>
      <c r="B419" s="250" t="s">
        <v>1593</v>
      </c>
    </row>
    <row r="420" spans="1:2">
      <c r="A420" s="251" t="s">
        <v>1594</v>
      </c>
      <c r="B420" s="250" t="s">
        <v>1595</v>
      </c>
    </row>
    <row r="421" spans="1:2">
      <c r="A421" s="251" t="s">
        <v>1596</v>
      </c>
      <c r="B421" s="250" t="s">
        <v>1597</v>
      </c>
    </row>
    <row r="422" spans="1:2">
      <c r="A422" s="251" t="s">
        <v>1598</v>
      </c>
      <c r="B422" s="250" t="s">
        <v>1599</v>
      </c>
    </row>
    <row r="423" spans="1:2">
      <c r="A423" s="251" t="s">
        <v>1600</v>
      </c>
      <c r="B423" s="250" t="s">
        <v>1601</v>
      </c>
    </row>
    <row r="424" spans="1:2">
      <c r="A424" s="251" t="s">
        <v>1602</v>
      </c>
      <c r="B424" s="250" t="s">
        <v>1603</v>
      </c>
    </row>
    <row r="425" spans="1:2">
      <c r="A425" s="251" t="s">
        <v>1604</v>
      </c>
      <c r="B425" s="250" t="s">
        <v>1605</v>
      </c>
    </row>
    <row r="426" spans="1:2">
      <c r="A426" s="251" t="s">
        <v>1606</v>
      </c>
      <c r="B426" s="250" t="s">
        <v>1607</v>
      </c>
    </row>
    <row r="427" spans="1:2">
      <c r="A427" s="251" t="s">
        <v>1608</v>
      </c>
      <c r="B427" s="250" t="s">
        <v>1609</v>
      </c>
    </row>
    <row r="428" spans="1:2">
      <c r="A428" s="251" t="s">
        <v>1610</v>
      </c>
      <c r="B428" s="250" t="s">
        <v>1611</v>
      </c>
    </row>
    <row r="429" spans="1:2">
      <c r="A429" s="251" t="s">
        <v>1612</v>
      </c>
      <c r="B429" s="250" t="s">
        <v>1613</v>
      </c>
    </row>
    <row r="430" spans="1:2">
      <c r="A430" s="251" t="s">
        <v>1614</v>
      </c>
      <c r="B430" s="250" t="s">
        <v>1615</v>
      </c>
    </row>
    <row r="431" spans="1:2">
      <c r="A431" s="251" t="s">
        <v>1616</v>
      </c>
      <c r="B431" s="250" t="s">
        <v>1617</v>
      </c>
    </row>
    <row r="432" spans="1:2">
      <c r="A432" s="251" t="s">
        <v>1618</v>
      </c>
      <c r="B432" s="250" t="s">
        <v>1619</v>
      </c>
    </row>
    <row r="433" spans="1:2">
      <c r="A433" s="251" t="s">
        <v>1620</v>
      </c>
      <c r="B433" s="250" t="s">
        <v>1621</v>
      </c>
    </row>
    <row r="434" spans="1:2">
      <c r="A434" s="251" t="s">
        <v>1622</v>
      </c>
      <c r="B434" s="250" t="s">
        <v>1623</v>
      </c>
    </row>
    <row r="435" spans="1:2">
      <c r="A435" s="251" t="s">
        <v>1624</v>
      </c>
      <c r="B435" s="250" t="s">
        <v>1625</v>
      </c>
    </row>
    <row r="436" spans="1:2">
      <c r="A436" s="251" t="s">
        <v>1626</v>
      </c>
      <c r="B436" s="250" t="s">
        <v>1627</v>
      </c>
    </row>
    <row r="437" spans="1:2">
      <c r="A437" s="251" t="s">
        <v>1628</v>
      </c>
      <c r="B437" s="250" t="s">
        <v>1629</v>
      </c>
    </row>
    <row r="438" spans="1:2">
      <c r="A438" s="251" t="s">
        <v>1630</v>
      </c>
      <c r="B438" s="250" t="s">
        <v>1631</v>
      </c>
    </row>
    <row r="439" spans="1:2">
      <c r="A439" s="251" t="s">
        <v>1632</v>
      </c>
      <c r="B439" s="250" t="s">
        <v>1633</v>
      </c>
    </row>
    <row r="440" spans="1:2">
      <c r="A440" s="251" t="s">
        <v>1634</v>
      </c>
      <c r="B440" s="250" t="s">
        <v>1635</v>
      </c>
    </row>
    <row r="441" spans="1:2">
      <c r="A441" s="251" t="s">
        <v>1636</v>
      </c>
      <c r="B441" s="250" t="s">
        <v>1637</v>
      </c>
    </row>
    <row r="442" spans="1:2">
      <c r="A442" s="251" t="s">
        <v>1638</v>
      </c>
      <c r="B442" s="250" t="s">
        <v>1639</v>
      </c>
    </row>
    <row r="443" spans="1:2">
      <c r="A443" s="251" t="s">
        <v>1640</v>
      </c>
      <c r="B443" s="250" t="s">
        <v>1641</v>
      </c>
    </row>
    <row r="444" spans="1:2">
      <c r="A444" s="251" t="s">
        <v>1642</v>
      </c>
      <c r="B444" s="250" t="s">
        <v>1643</v>
      </c>
    </row>
    <row r="445" spans="1:2">
      <c r="A445" s="251" t="s">
        <v>1644</v>
      </c>
      <c r="B445" s="250" t="s">
        <v>1645</v>
      </c>
    </row>
    <row r="446" spans="1:2">
      <c r="A446" s="251" t="s">
        <v>1646</v>
      </c>
      <c r="B446" s="250" t="s">
        <v>1647</v>
      </c>
    </row>
    <row r="447" spans="1:2">
      <c r="A447" s="251" t="s">
        <v>1648</v>
      </c>
      <c r="B447" s="250" t="s">
        <v>1649</v>
      </c>
    </row>
    <row r="448" spans="1:2">
      <c r="A448" s="251" t="s">
        <v>1650</v>
      </c>
      <c r="B448" s="250" t="s">
        <v>1651</v>
      </c>
    </row>
    <row r="449" spans="1:2">
      <c r="A449" s="251" t="s">
        <v>1652</v>
      </c>
      <c r="B449" s="250" t="s">
        <v>1653</v>
      </c>
    </row>
    <row r="450" spans="1:2">
      <c r="A450" s="251" t="s">
        <v>1654</v>
      </c>
      <c r="B450" s="250" t="s">
        <v>1655</v>
      </c>
    </row>
    <row r="451" spans="1:2">
      <c r="A451" s="251" t="s">
        <v>1656</v>
      </c>
      <c r="B451" s="250" t="s">
        <v>1657</v>
      </c>
    </row>
    <row r="452" spans="1:2">
      <c r="A452" s="251" t="s">
        <v>1658</v>
      </c>
      <c r="B452" s="250" t="s">
        <v>1659</v>
      </c>
    </row>
    <row r="453" spans="1:2">
      <c r="A453" s="251" t="s">
        <v>1660</v>
      </c>
      <c r="B453" s="250" t="s">
        <v>1661</v>
      </c>
    </row>
    <row r="454" spans="1:2">
      <c r="A454" s="251" t="s">
        <v>1662</v>
      </c>
      <c r="B454" s="250" t="s">
        <v>1663</v>
      </c>
    </row>
    <row r="455" spans="1:2">
      <c r="A455" s="251" t="s">
        <v>1664</v>
      </c>
      <c r="B455" s="250" t="s">
        <v>1665</v>
      </c>
    </row>
    <row r="456" spans="1:2">
      <c r="A456" s="251" t="s">
        <v>1666</v>
      </c>
      <c r="B456" s="250" t="s">
        <v>1667</v>
      </c>
    </row>
    <row r="457" spans="1:2">
      <c r="A457" s="251" t="s">
        <v>1668</v>
      </c>
      <c r="B457" s="250" t="s">
        <v>1669</v>
      </c>
    </row>
    <row r="458" spans="1:2">
      <c r="A458" s="251" t="s">
        <v>1670</v>
      </c>
      <c r="B458" s="250" t="s">
        <v>1671</v>
      </c>
    </row>
    <row r="459" spans="1:2">
      <c r="A459" s="251" t="s">
        <v>1672</v>
      </c>
      <c r="B459" s="250" t="s">
        <v>1673</v>
      </c>
    </row>
    <row r="460" spans="1:2">
      <c r="A460" s="251" t="s">
        <v>1674</v>
      </c>
      <c r="B460" s="250" t="s">
        <v>1675</v>
      </c>
    </row>
    <row r="461" spans="1:2">
      <c r="A461" s="251" t="s">
        <v>1676</v>
      </c>
      <c r="B461" s="250" t="s">
        <v>1677</v>
      </c>
    </row>
    <row r="462" spans="1:2">
      <c r="A462" s="251" t="s">
        <v>1678</v>
      </c>
      <c r="B462" s="250" t="s">
        <v>1679</v>
      </c>
    </row>
    <row r="463" spans="1:2">
      <c r="A463" s="251" t="s">
        <v>1680</v>
      </c>
      <c r="B463" s="250" t="s">
        <v>1681</v>
      </c>
    </row>
    <row r="464" spans="1:2">
      <c r="A464" s="251" t="s">
        <v>1682</v>
      </c>
      <c r="B464" s="250" t="s">
        <v>1683</v>
      </c>
    </row>
    <row r="465" spans="1:2">
      <c r="A465" s="251" t="s">
        <v>1684</v>
      </c>
      <c r="B465" s="250" t="s">
        <v>1685</v>
      </c>
    </row>
    <row r="466" spans="1:2">
      <c r="A466" s="251" t="s">
        <v>1686</v>
      </c>
      <c r="B466" s="250" t="s">
        <v>1687</v>
      </c>
    </row>
    <row r="467" spans="1:2">
      <c r="A467" s="251" t="s">
        <v>1688</v>
      </c>
      <c r="B467" s="250" t="s">
        <v>1689</v>
      </c>
    </row>
    <row r="468" spans="1:2">
      <c r="A468" s="251" t="s">
        <v>1690</v>
      </c>
      <c r="B468" s="250" t="s">
        <v>1691</v>
      </c>
    </row>
    <row r="469" spans="1:2">
      <c r="A469" s="251" t="s">
        <v>1692</v>
      </c>
      <c r="B469" s="250" t="s">
        <v>1693</v>
      </c>
    </row>
    <row r="470" spans="1:2">
      <c r="A470" s="251" t="s">
        <v>1694</v>
      </c>
      <c r="B470" s="250" t="s">
        <v>1695</v>
      </c>
    </row>
    <row r="471" spans="1:2">
      <c r="A471" s="251" t="s">
        <v>1696</v>
      </c>
      <c r="B471" s="250" t="s">
        <v>1697</v>
      </c>
    </row>
    <row r="472" spans="1:2">
      <c r="A472" s="251" t="s">
        <v>1698</v>
      </c>
      <c r="B472" s="250" t="s">
        <v>1699</v>
      </c>
    </row>
    <row r="473" spans="1:2">
      <c r="A473" s="251" t="s">
        <v>1700</v>
      </c>
      <c r="B473" s="250" t="s">
        <v>1701</v>
      </c>
    </row>
    <row r="474" spans="1:2">
      <c r="A474" s="251" t="s">
        <v>1702</v>
      </c>
      <c r="B474" s="250" t="s">
        <v>1703</v>
      </c>
    </row>
    <row r="475" spans="1:2">
      <c r="A475" s="251" t="s">
        <v>1704</v>
      </c>
      <c r="B475" s="250" t="s">
        <v>1705</v>
      </c>
    </row>
    <row r="476" spans="1:2">
      <c r="A476" s="251" t="s">
        <v>1706</v>
      </c>
      <c r="B476" s="250" t="s">
        <v>1707</v>
      </c>
    </row>
    <row r="477" spans="1:2">
      <c r="A477" s="251" t="s">
        <v>1708</v>
      </c>
      <c r="B477" s="250" t="s">
        <v>1709</v>
      </c>
    </row>
    <row r="478" spans="1:2">
      <c r="A478" s="251" t="s">
        <v>1710</v>
      </c>
      <c r="B478" s="250" t="s">
        <v>1711</v>
      </c>
    </row>
    <row r="479" spans="1:2">
      <c r="A479" s="251" t="s">
        <v>1712</v>
      </c>
      <c r="B479" s="250" t="s">
        <v>1713</v>
      </c>
    </row>
    <row r="480" spans="1:2">
      <c r="A480" s="251" t="s">
        <v>1714</v>
      </c>
      <c r="B480" s="250" t="s">
        <v>1715</v>
      </c>
    </row>
    <row r="481" spans="1:2">
      <c r="A481" s="251" t="s">
        <v>1716</v>
      </c>
      <c r="B481" s="250" t="s">
        <v>1717</v>
      </c>
    </row>
    <row r="482" spans="1:2">
      <c r="A482" s="251" t="s">
        <v>1718</v>
      </c>
      <c r="B482" s="250" t="s">
        <v>1719</v>
      </c>
    </row>
    <row r="483" spans="1:2">
      <c r="A483" s="251" t="s">
        <v>1720</v>
      </c>
      <c r="B483" s="250" t="s">
        <v>1721</v>
      </c>
    </row>
    <row r="484" spans="1:2">
      <c r="A484" s="251" t="s">
        <v>1722</v>
      </c>
      <c r="B484" s="250" t="s">
        <v>1723</v>
      </c>
    </row>
    <row r="485" spans="1:2">
      <c r="A485" s="251" t="s">
        <v>1724</v>
      </c>
      <c r="B485" s="250" t="s">
        <v>1725</v>
      </c>
    </row>
    <row r="486" spans="1:2">
      <c r="A486" s="251" t="s">
        <v>1726</v>
      </c>
      <c r="B486" s="250" t="s">
        <v>1727</v>
      </c>
    </row>
    <row r="487" spans="1:2">
      <c r="A487" s="251" t="s">
        <v>1728</v>
      </c>
      <c r="B487" s="250" t="s">
        <v>1729</v>
      </c>
    </row>
    <row r="488" spans="1:2">
      <c r="A488" s="251" t="s">
        <v>1730</v>
      </c>
      <c r="B488" s="250" t="s">
        <v>1731</v>
      </c>
    </row>
    <row r="489" spans="1:2">
      <c r="A489" s="251" t="s">
        <v>1732</v>
      </c>
      <c r="B489" s="250" t="s">
        <v>1733</v>
      </c>
    </row>
    <row r="490" spans="1:2">
      <c r="A490" s="251" t="s">
        <v>1734</v>
      </c>
      <c r="B490" s="250" t="s">
        <v>1735</v>
      </c>
    </row>
    <row r="491" spans="1:2">
      <c r="A491" s="251" t="s">
        <v>1736</v>
      </c>
      <c r="B491" s="250" t="s">
        <v>1737</v>
      </c>
    </row>
    <row r="492" spans="1:2">
      <c r="A492" s="251" t="s">
        <v>1738</v>
      </c>
      <c r="B492" s="250" t="s">
        <v>1739</v>
      </c>
    </row>
    <row r="493" spans="1:2">
      <c r="A493" s="251" t="s">
        <v>1740</v>
      </c>
      <c r="B493" s="250" t="s">
        <v>1741</v>
      </c>
    </row>
    <row r="494" spans="1:2">
      <c r="A494" s="251" t="s">
        <v>1742</v>
      </c>
      <c r="B494" s="250" t="s">
        <v>1743</v>
      </c>
    </row>
    <row r="495" spans="1:2">
      <c r="A495" s="251" t="s">
        <v>1744</v>
      </c>
      <c r="B495" s="250" t="s">
        <v>1745</v>
      </c>
    </row>
    <row r="496" spans="1:2">
      <c r="A496" s="251" t="s">
        <v>1746</v>
      </c>
      <c r="B496" s="250" t="s">
        <v>1747</v>
      </c>
    </row>
    <row r="497" spans="1:2">
      <c r="A497" s="251" t="s">
        <v>1748</v>
      </c>
      <c r="B497" s="250" t="s">
        <v>1749</v>
      </c>
    </row>
    <row r="498" spans="1:2">
      <c r="A498" s="251" t="s">
        <v>1750</v>
      </c>
      <c r="B498" s="250" t="s">
        <v>1751</v>
      </c>
    </row>
    <row r="499" spans="1:2">
      <c r="A499" s="251" t="s">
        <v>2593</v>
      </c>
      <c r="B499" s="250" t="s">
        <v>2594</v>
      </c>
    </row>
    <row r="500" spans="1:2">
      <c r="A500" s="251" t="s">
        <v>2595</v>
      </c>
      <c r="B500" s="250" t="s">
        <v>2596</v>
      </c>
    </row>
    <row r="501" spans="1:2">
      <c r="A501" s="251" t="s">
        <v>2597</v>
      </c>
      <c r="B501" s="250" t="s">
        <v>2598</v>
      </c>
    </row>
    <row r="502" spans="1:2">
      <c r="A502" s="251" t="s">
        <v>2599</v>
      </c>
      <c r="B502" s="250" t="s">
        <v>2600</v>
      </c>
    </row>
    <row r="503" spans="1:2">
      <c r="A503" s="251" t="s">
        <v>2601</v>
      </c>
      <c r="B503" s="250" t="s">
        <v>2602</v>
      </c>
    </row>
    <row r="504" spans="1:2">
      <c r="A504" s="251" t="s">
        <v>2603</v>
      </c>
      <c r="B504" s="250" t="s">
        <v>2604</v>
      </c>
    </row>
    <row r="505" spans="1:2">
      <c r="A505" s="251" t="s">
        <v>2605</v>
      </c>
      <c r="B505" s="250" t="s">
        <v>2606</v>
      </c>
    </row>
    <row r="506" spans="1:2">
      <c r="A506" s="251" t="s">
        <v>2607</v>
      </c>
      <c r="B506" s="250" t="s">
        <v>2608</v>
      </c>
    </row>
    <row r="507" spans="1:2">
      <c r="A507" s="251" t="s">
        <v>2609</v>
      </c>
      <c r="B507" s="250" t="s">
        <v>2610</v>
      </c>
    </row>
    <row r="508" spans="1:2">
      <c r="A508" s="251" t="s">
        <v>2611</v>
      </c>
      <c r="B508" s="250" t="s">
        <v>2612</v>
      </c>
    </row>
    <row r="509" spans="1:2">
      <c r="A509" s="251" t="s">
        <v>2613</v>
      </c>
      <c r="B509" s="250" t="s">
        <v>2614</v>
      </c>
    </row>
    <row r="510" spans="1:2">
      <c r="A510" s="251" t="s">
        <v>2615</v>
      </c>
      <c r="B510" s="250" t="s">
        <v>2616</v>
      </c>
    </row>
    <row r="511" spans="1:2">
      <c r="A511" s="251" t="s">
        <v>2617</v>
      </c>
      <c r="B511" s="250" t="s">
        <v>2618</v>
      </c>
    </row>
    <row r="512" spans="1:2">
      <c r="A512" s="251" t="s">
        <v>2619</v>
      </c>
      <c r="B512" s="250" t="s">
        <v>2620</v>
      </c>
    </row>
    <row r="513" spans="1:2">
      <c r="A513" s="251" t="s">
        <v>2621</v>
      </c>
      <c r="B513" s="250" t="s">
        <v>2622</v>
      </c>
    </row>
    <row r="514" spans="1:2">
      <c r="A514" s="251" t="s">
        <v>2623</v>
      </c>
      <c r="B514" s="250" t="s">
        <v>2624</v>
      </c>
    </row>
    <row r="515" spans="1:2">
      <c r="A515" s="251" t="s">
        <v>2625</v>
      </c>
      <c r="B515" s="250" t="s">
        <v>2626</v>
      </c>
    </row>
    <row r="516" spans="1:2">
      <c r="A516" s="251" t="s">
        <v>2627</v>
      </c>
      <c r="B516" s="250" t="s">
        <v>2628</v>
      </c>
    </row>
    <row r="517" spans="1:2">
      <c r="A517" s="251" t="s">
        <v>2629</v>
      </c>
      <c r="B517" s="250" t="s">
        <v>2630</v>
      </c>
    </row>
    <row r="518" spans="1:2">
      <c r="A518" s="251" t="s">
        <v>2631</v>
      </c>
      <c r="B518" s="250" t="s">
        <v>2632</v>
      </c>
    </row>
    <row r="519" spans="1:2">
      <c r="A519" s="251" t="s">
        <v>2633</v>
      </c>
      <c r="B519" s="250" t="s">
        <v>2634</v>
      </c>
    </row>
    <row r="520" spans="1:2">
      <c r="A520" s="251" t="s">
        <v>2635</v>
      </c>
      <c r="B520" s="250" t="s">
        <v>2636</v>
      </c>
    </row>
    <row r="521" spans="1:2">
      <c r="A521" s="251" t="s">
        <v>2637</v>
      </c>
      <c r="B521" s="250" t="s">
        <v>2638</v>
      </c>
    </row>
    <row r="522" spans="1:2">
      <c r="A522" s="251" t="s">
        <v>2639</v>
      </c>
      <c r="B522" s="250" t="s">
        <v>2640</v>
      </c>
    </row>
    <row r="523" spans="1:2">
      <c r="A523" s="251" t="s">
        <v>2641</v>
      </c>
      <c r="B523" s="250" t="s">
        <v>2642</v>
      </c>
    </row>
    <row r="524" spans="1:2">
      <c r="A524" s="251" t="s">
        <v>2643</v>
      </c>
      <c r="B524" s="250" t="s">
        <v>2644</v>
      </c>
    </row>
    <row r="525" spans="1:2">
      <c r="A525" s="251" t="s">
        <v>2645</v>
      </c>
      <c r="B525" s="250" t="s">
        <v>2646</v>
      </c>
    </row>
    <row r="526" spans="1:2">
      <c r="A526" s="251" t="s">
        <v>2647</v>
      </c>
      <c r="B526" s="250" t="s">
        <v>2648</v>
      </c>
    </row>
    <row r="527" spans="1:2">
      <c r="A527" s="251" t="s">
        <v>2649</v>
      </c>
      <c r="B527" s="250" t="s">
        <v>2650</v>
      </c>
    </row>
    <row r="528" spans="1:2">
      <c r="A528" s="251" t="s">
        <v>2651</v>
      </c>
      <c r="B528" s="250" t="s">
        <v>2652</v>
      </c>
    </row>
    <row r="529" spans="1:2">
      <c r="A529" s="251" t="s">
        <v>2653</v>
      </c>
      <c r="B529" s="250" t="s">
        <v>2654</v>
      </c>
    </row>
    <row r="530" spans="1:2">
      <c r="A530" s="251" t="s">
        <v>2655</v>
      </c>
      <c r="B530" s="250" t="s">
        <v>2656</v>
      </c>
    </row>
    <row r="531" spans="1:2">
      <c r="A531" s="251" t="s">
        <v>2657</v>
      </c>
      <c r="B531" s="250" t="s">
        <v>2658</v>
      </c>
    </row>
    <row r="532" spans="1:2">
      <c r="A532" s="251" t="s">
        <v>2659</v>
      </c>
      <c r="B532" s="250" t="s">
        <v>2660</v>
      </c>
    </row>
    <row r="533" spans="1:2">
      <c r="A533" s="251" t="s">
        <v>2661</v>
      </c>
      <c r="B533" s="250" t="s">
        <v>2662</v>
      </c>
    </row>
    <row r="534" spans="1:2">
      <c r="A534" s="251" t="s">
        <v>2663</v>
      </c>
      <c r="B534" s="250" t="s">
        <v>2664</v>
      </c>
    </row>
    <row r="535" spans="1:2">
      <c r="A535" s="251" t="s">
        <v>2665</v>
      </c>
      <c r="B535" s="250" t="s">
        <v>2666</v>
      </c>
    </row>
    <row r="536" spans="1:2">
      <c r="A536" s="251" t="s">
        <v>2667</v>
      </c>
      <c r="B536" s="250" t="s">
        <v>2668</v>
      </c>
    </row>
    <row r="537" spans="1:2">
      <c r="A537" s="251" t="s">
        <v>2669</v>
      </c>
      <c r="B537" s="250" t="s">
        <v>2670</v>
      </c>
    </row>
    <row r="538" spans="1:2">
      <c r="A538" s="251" t="s">
        <v>2671</v>
      </c>
      <c r="B538" s="250" t="s">
        <v>1577</v>
      </c>
    </row>
    <row r="539" spans="1:2">
      <c r="A539" s="251" t="s">
        <v>2672</v>
      </c>
      <c r="B539" s="250" t="s">
        <v>2673</v>
      </c>
    </row>
    <row r="540" spans="1:2">
      <c r="A540" s="251" t="s">
        <v>2674</v>
      </c>
      <c r="B540" s="250" t="s">
        <v>2675</v>
      </c>
    </row>
    <row r="541" spans="1:2">
      <c r="A541" s="251" t="s">
        <v>2676</v>
      </c>
      <c r="B541" s="250" t="s">
        <v>2677</v>
      </c>
    </row>
    <row r="542" spans="1:2">
      <c r="A542" s="251" t="s">
        <v>2678</v>
      </c>
      <c r="B542" s="250" t="s">
        <v>2679</v>
      </c>
    </row>
    <row r="543" spans="1:2">
      <c r="A543" s="251" t="s">
        <v>2680</v>
      </c>
      <c r="B543" s="250" t="s">
        <v>2681</v>
      </c>
    </row>
    <row r="544" spans="1:2">
      <c r="A544" s="251" t="s">
        <v>2682</v>
      </c>
      <c r="B544" s="250" t="s">
        <v>2683</v>
      </c>
    </row>
    <row r="545" spans="1:2">
      <c r="A545" s="251" t="s">
        <v>2684</v>
      </c>
      <c r="B545" s="250" t="s">
        <v>2685</v>
      </c>
    </row>
    <row r="546" spans="1:2">
      <c r="A546" s="251" t="s">
        <v>2686</v>
      </c>
      <c r="B546" s="250" t="s">
        <v>2687</v>
      </c>
    </row>
    <row r="547" spans="1:2">
      <c r="A547" s="251" t="s">
        <v>2688</v>
      </c>
      <c r="B547" s="250" t="s">
        <v>2689</v>
      </c>
    </row>
    <row r="548" spans="1:2">
      <c r="A548" s="251" t="s">
        <v>2690</v>
      </c>
      <c r="B548" s="250" t="s">
        <v>2691</v>
      </c>
    </row>
    <row r="549" spans="1:2">
      <c r="A549" s="251" t="s">
        <v>2692</v>
      </c>
      <c r="B549" s="250" t="s">
        <v>2693</v>
      </c>
    </row>
    <row r="550" spans="1:2">
      <c r="A550" s="251" t="s">
        <v>2694</v>
      </c>
      <c r="B550" s="250" t="s">
        <v>2695</v>
      </c>
    </row>
    <row r="551" spans="1:2">
      <c r="A551" s="251" t="s">
        <v>2696</v>
      </c>
      <c r="B551" s="250" t="s">
        <v>2697</v>
      </c>
    </row>
    <row r="552" spans="1:2">
      <c r="A552" s="251" t="s">
        <v>2698</v>
      </c>
      <c r="B552" s="250" t="s">
        <v>2699</v>
      </c>
    </row>
    <row r="553" spans="1:2">
      <c r="A553" s="251" t="s">
        <v>2700</v>
      </c>
      <c r="B553" s="250" t="s">
        <v>2701</v>
      </c>
    </row>
    <row r="554" spans="1:2">
      <c r="A554" s="251" t="s">
        <v>2702</v>
      </c>
      <c r="B554" s="250" t="s">
        <v>2703</v>
      </c>
    </row>
    <row r="555" spans="1:2">
      <c r="A555" s="251" t="s">
        <v>2704</v>
      </c>
      <c r="B555" s="250" t="s">
        <v>2705</v>
      </c>
    </row>
    <row r="556" spans="1:2">
      <c r="A556" s="251" t="s">
        <v>2706</v>
      </c>
      <c r="B556" s="250" t="s">
        <v>2707</v>
      </c>
    </row>
    <row r="557" spans="1:2">
      <c r="A557" s="251" t="s">
        <v>2708</v>
      </c>
      <c r="B557" s="250" t="s">
        <v>2709</v>
      </c>
    </row>
    <row r="558" spans="1:2">
      <c r="A558" s="251" t="s">
        <v>2710</v>
      </c>
      <c r="B558" s="250" t="s">
        <v>2711</v>
      </c>
    </row>
    <row r="559" spans="1:2">
      <c r="A559" s="251" t="s">
        <v>2712</v>
      </c>
      <c r="B559" s="250" t="s">
        <v>2713</v>
      </c>
    </row>
    <row r="560" spans="1:2">
      <c r="A560" s="251" t="s">
        <v>2714</v>
      </c>
      <c r="B560" s="250" t="s">
        <v>2715</v>
      </c>
    </row>
    <row r="561" spans="1:2">
      <c r="A561" s="251" t="s">
        <v>2716</v>
      </c>
      <c r="B561" s="250" t="s">
        <v>2717</v>
      </c>
    </row>
    <row r="562" spans="1:2">
      <c r="A562" s="251" t="s">
        <v>2718</v>
      </c>
      <c r="B562" s="250" t="s">
        <v>2719</v>
      </c>
    </row>
    <row r="563" spans="1:2">
      <c r="A563" s="251" t="s">
        <v>2720</v>
      </c>
      <c r="B563" s="250" t="s">
        <v>2721</v>
      </c>
    </row>
    <row r="564" spans="1:2">
      <c r="A564" s="251" t="s">
        <v>2722</v>
      </c>
      <c r="B564" s="250" t="s">
        <v>2723</v>
      </c>
    </row>
    <row r="565" spans="1:2">
      <c r="A565" s="251" t="s">
        <v>2724</v>
      </c>
      <c r="B565" s="250" t="s">
        <v>2725</v>
      </c>
    </row>
    <row r="566" spans="1:2">
      <c r="A566" s="251" t="s">
        <v>2726</v>
      </c>
      <c r="B566" s="250" t="s">
        <v>2727</v>
      </c>
    </row>
    <row r="567" spans="1:2">
      <c r="A567" s="251" t="s">
        <v>2728</v>
      </c>
      <c r="B567" s="250" t="s">
        <v>2729</v>
      </c>
    </row>
    <row r="568" spans="1:2">
      <c r="A568" s="251" t="s">
        <v>2730</v>
      </c>
      <c r="B568" s="250" t="s">
        <v>2731</v>
      </c>
    </row>
    <row r="569" spans="1:2">
      <c r="A569" s="251" t="s">
        <v>2732</v>
      </c>
      <c r="B569" s="250" t="s">
        <v>2733</v>
      </c>
    </row>
    <row r="570" spans="1:2">
      <c r="A570" s="251" t="s">
        <v>2734</v>
      </c>
      <c r="B570" s="250" t="s">
        <v>2735</v>
      </c>
    </row>
    <row r="571" spans="1:2">
      <c r="A571" s="251" t="s">
        <v>2736</v>
      </c>
      <c r="B571" s="250" t="s">
        <v>2737</v>
      </c>
    </row>
    <row r="572" spans="1:2">
      <c r="A572" s="251" t="s">
        <v>2738</v>
      </c>
      <c r="B572" s="250" t="s">
        <v>1743</v>
      </c>
    </row>
    <row r="573" spans="1:2">
      <c r="A573" s="251" t="s">
        <v>2739</v>
      </c>
      <c r="B573" s="250" t="s">
        <v>2740</v>
      </c>
    </row>
    <row r="574" spans="1:2">
      <c r="A574" s="251" t="s">
        <v>2741</v>
      </c>
      <c r="B574" s="250" t="s">
        <v>2742</v>
      </c>
    </row>
    <row r="575" spans="1:2">
      <c r="A575" s="251" t="s">
        <v>2743</v>
      </c>
      <c r="B575" s="250" t="s">
        <v>2744</v>
      </c>
    </row>
    <row r="576" spans="1:2">
      <c r="A576" s="251" t="s">
        <v>2745</v>
      </c>
      <c r="B576" s="250" t="s">
        <v>2746</v>
      </c>
    </row>
    <row r="577" spans="1:2">
      <c r="A577" s="251" t="s">
        <v>2747</v>
      </c>
      <c r="B577" s="250" t="s">
        <v>2748</v>
      </c>
    </row>
    <row r="578" spans="1:2">
      <c r="A578" s="251" t="s">
        <v>2749</v>
      </c>
      <c r="B578" s="250" t="s">
        <v>2750</v>
      </c>
    </row>
    <row r="579" spans="1:2">
      <c r="A579" s="251" t="s">
        <v>2751</v>
      </c>
      <c r="B579" s="250" t="s">
        <v>2752</v>
      </c>
    </row>
    <row r="580" spans="1:2">
      <c r="A580" s="251" t="s">
        <v>2753</v>
      </c>
      <c r="B580" s="250" t="s">
        <v>2754</v>
      </c>
    </row>
    <row r="581" spans="1:2">
      <c r="A581" s="251" t="s">
        <v>2755</v>
      </c>
      <c r="B581" s="250" t="s">
        <v>2756</v>
      </c>
    </row>
    <row r="582" spans="1:2">
      <c r="A582" s="251" t="s">
        <v>2757</v>
      </c>
      <c r="B582" s="250" t="s">
        <v>2758</v>
      </c>
    </row>
    <row r="583" spans="1:2">
      <c r="A583" s="251" t="s">
        <v>2759</v>
      </c>
      <c r="B583" s="250" t="s">
        <v>2760</v>
      </c>
    </row>
    <row r="584" spans="1:2">
      <c r="A584" s="251" t="s">
        <v>2761</v>
      </c>
      <c r="B584" s="250" t="s">
        <v>2762</v>
      </c>
    </row>
    <row r="585" spans="1:2">
      <c r="A585" s="251" t="s">
        <v>2763</v>
      </c>
      <c r="B585" s="250" t="s">
        <v>2764</v>
      </c>
    </row>
    <row r="586" spans="1:2">
      <c r="A586" s="251" t="s">
        <v>2765</v>
      </c>
      <c r="B586" s="250" t="s">
        <v>2766</v>
      </c>
    </row>
    <row r="587" spans="1:2">
      <c r="A587" s="251" t="s">
        <v>2767</v>
      </c>
      <c r="B587" s="250" t="s">
        <v>2768</v>
      </c>
    </row>
    <row r="588" spans="1:2">
      <c r="A588" s="251" t="s">
        <v>2769</v>
      </c>
      <c r="B588" s="250" t="s">
        <v>2770</v>
      </c>
    </row>
    <row r="589" spans="1:2">
      <c r="A589" s="251" t="s">
        <v>2771</v>
      </c>
      <c r="B589" s="250" t="s">
        <v>2772</v>
      </c>
    </row>
    <row r="590" spans="1:2">
      <c r="A590" s="251" t="s">
        <v>2773</v>
      </c>
      <c r="B590" s="250" t="s">
        <v>2774</v>
      </c>
    </row>
    <row r="591" spans="1:2">
      <c r="A591" s="251" t="s">
        <v>2775</v>
      </c>
      <c r="B591" s="250" t="s">
        <v>2776</v>
      </c>
    </row>
    <row r="592" spans="1:2">
      <c r="A592" s="251" t="s">
        <v>2777</v>
      </c>
      <c r="B592" s="250" t="s">
        <v>2778</v>
      </c>
    </row>
    <row r="593" spans="1:2">
      <c r="A593" s="251" t="s">
        <v>2779</v>
      </c>
      <c r="B593" s="250" t="s">
        <v>2780</v>
      </c>
    </row>
    <row r="594" spans="1:2">
      <c r="A594" s="251" t="s">
        <v>2781</v>
      </c>
      <c r="B594" s="250" t="s">
        <v>2782</v>
      </c>
    </row>
    <row r="595" spans="1:2">
      <c r="A595" s="251" t="s">
        <v>2783</v>
      </c>
      <c r="B595" s="250" t="s">
        <v>2784</v>
      </c>
    </row>
    <row r="596" spans="1:2">
      <c r="A596" s="251" t="s">
        <v>2785</v>
      </c>
      <c r="B596" s="250" t="s">
        <v>2786</v>
      </c>
    </row>
    <row r="597" spans="1:2">
      <c r="A597" s="251" t="s">
        <v>2787</v>
      </c>
      <c r="B597" s="250" t="s">
        <v>2788</v>
      </c>
    </row>
    <row r="598" spans="1:2">
      <c r="A598" s="251" t="s">
        <v>2789</v>
      </c>
      <c r="B598" s="250" t="s">
        <v>2790</v>
      </c>
    </row>
    <row r="599" spans="1:2">
      <c r="A599" s="251" t="s">
        <v>2791</v>
      </c>
      <c r="B599" s="250" t="s">
        <v>2792</v>
      </c>
    </row>
    <row r="600" spans="1:2">
      <c r="A600" s="251" t="s">
        <v>2793</v>
      </c>
      <c r="B600" s="250" t="s">
        <v>2794</v>
      </c>
    </row>
    <row r="601" spans="1:2">
      <c r="A601" s="251" t="s">
        <v>2795</v>
      </c>
      <c r="B601" s="250" t="s">
        <v>2796</v>
      </c>
    </row>
    <row r="602" spans="1:2">
      <c r="A602" s="251" t="s">
        <v>2797</v>
      </c>
      <c r="B602" s="250" t="s">
        <v>2798</v>
      </c>
    </row>
    <row r="603" spans="1:2">
      <c r="A603" s="251" t="s">
        <v>2799</v>
      </c>
      <c r="B603" s="250" t="s">
        <v>2800</v>
      </c>
    </row>
    <row r="604" spans="1:2">
      <c r="A604" s="251" t="s">
        <v>2801</v>
      </c>
      <c r="B604" s="250" t="s">
        <v>2802</v>
      </c>
    </row>
    <row r="605" spans="1:2">
      <c r="A605" s="251" t="s">
        <v>2803</v>
      </c>
      <c r="B605" s="250" t="s">
        <v>2804</v>
      </c>
    </row>
    <row r="606" spans="1:2">
      <c r="A606" s="251" t="s">
        <v>2805</v>
      </c>
      <c r="B606" s="250" t="s">
        <v>2806</v>
      </c>
    </row>
    <row r="607" spans="1:2">
      <c r="A607" s="251" t="s">
        <v>2807</v>
      </c>
      <c r="B607" s="250" t="s">
        <v>2808</v>
      </c>
    </row>
    <row r="608" spans="1:2">
      <c r="A608" s="251" t="s">
        <v>2809</v>
      </c>
      <c r="B608" s="250" t="s">
        <v>2810</v>
      </c>
    </row>
    <row r="609" spans="1:2">
      <c r="A609" s="251" t="s">
        <v>2811</v>
      </c>
      <c r="B609" s="250" t="s">
        <v>2812</v>
      </c>
    </row>
    <row r="610" spans="1:2">
      <c r="A610" s="251" t="s">
        <v>2813</v>
      </c>
      <c r="B610" s="250" t="s">
        <v>2814</v>
      </c>
    </row>
    <row r="611" spans="1:2">
      <c r="A611" s="251" t="s">
        <v>2815</v>
      </c>
      <c r="B611" s="250" t="s">
        <v>2816</v>
      </c>
    </row>
    <row r="612" spans="1:2">
      <c r="A612" s="251" t="s">
        <v>2817</v>
      </c>
      <c r="B612" s="250" t="s">
        <v>2818</v>
      </c>
    </row>
    <row r="613" spans="1:2">
      <c r="A613" s="251" t="s">
        <v>2819</v>
      </c>
      <c r="B613" s="250" t="s">
        <v>2820</v>
      </c>
    </row>
    <row r="614" spans="1:2">
      <c r="A614" s="251" t="s">
        <v>2821</v>
      </c>
      <c r="B614" s="250" t="s">
        <v>2822</v>
      </c>
    </row>
    <row r="615" spans="1:2">
      <c r="A615" s="251" t="s">
        <v>2823</v>
      </c>
      <c r="B615" s="250" t="s">
        <v>2824</v>
      </c>
    </row>
    <row r="616" spans="1:2">
      <c r="A616" s="251" t="s">
        <v>2825</v>
      </c>
      <c r="B616" s="250" t="s">
        <v>2826</v>
      </c>
    </row>
    <row r="617" spans="1:2">
      <c r="A617" s="251" t="s">
        <v>2827</v>
      </c>
      <c r="B617" s="250" t="s">
        <v>2828</v>
      </c>
    </row>
    <row r="618" spans="1:2">
      <c r="A618" s="251" t="s">
        <v>2829</v>
      </c>
      <c r="B618" s="250" t="s">
        <v>2830</v>
      </c>
    </row>
    <row r="619" spans="1:2">
      <c r="A619" s="251" t="s">
        <v>2831</v>
      </c>
      <c r="B619" s="250" t="s">
        <v>2832</v>
      </c>
    </row>
    <row r="620" spans="1:2">
      <c r="A620" s="251" t="s">
        <v>2833</v>
      </c>
      <c r="B620" s="250" t="s">
        <v>2834</v>
      </c>
    </row>
    <row r="621" spans="1:2">
      <c r="A621" s="251" t="s">
        <v>2835</v>
      </c>
      <c r="B621" s="250" t="s">
        <v>2836</v>
      </c>
    </row>
    <row r="622" spans="1:2">
      <c r="A622" s="251" t="s">
        <v>2837</v>
      </c>
      <c r="B622" s="250" t="s">
        <v>2838</v>
      </c>
    </row>
    <row r="623" spans="1:2">
      <c r="A623" s="251" t="s">
        <v>2839</v>
      </c>
      <c r="B623" s="250" t="s">
        <v>2840</v>
      </c>
    </row>
    <row r="624" spans="1:2">
      <c r="A624" s="251" t="s">
        <v>2841</v>
      </c>
      <c r="B624" s="250" t="s">
        <v>2842</v>
      </c>
    </row>
    <row r="625" spans="1:2">
      <c r="A625" s="251" t="s">
        <v>2843</v>
      </c>
      <c r="B625" s="250" t="s">
        <v>2844</v>
      </c>
    </row>
    <row r="626" spans="1:2">
      <c r="A626" s="251" t="s">
        <v>2845</v>
      </c>
      <c r="B626" s="250" t="s">
        <v>2846</v>
      </c>
    </row>
    <row r="627" spans="1:2">
      <c r="A627" s="251" t="s">
        <v>2847</v>
      </c>
      <c r="B627" s="250" t="s">
        <v>2848</v>
      </c>
    </row>
    <row r="628" spans="1:2">
      <c r="A628" s="251" t="s">
        <v>2849</v>
      </c>
      <c r="B628" s="250" t="s">
        <v>2850</v>
      </c>
    </row>
    <row r="629" spans="1:2">
      <c r="A629" s="251" t="s">
        <v>2851</v>
      </c>
      <c r="B629" s="250" t="s">
        <v>2852</v>
      </c>
    </row>
    <row r="630" spans="1:2">
      <c r="A630" s="251" t="s">
        <v>2853</v>
      </c>
      <c r="B630" s="250" t="s">
        <v>2854</v>
      </c>
    </row>
    <row r="631" spans="1:2">
      <c r="A631" s="251" t="s">
        <v>2855</v>
      </c>
      <c r="B631" s="250" t="s">
        <v>2856</v>
      </c>
    </row>
    <row r="632" spans="1:2">
      <c r="A632" s="251" t="s">
        <v>2857</v>
      </c>
      <c r="B632" s="250" t="s">
        <v>2858</v>
      </c>
    </row>
    <row r="633" spans="1:2">
      <c r="A633" s="251" t="s">
        <v>2859</v>
      </c>
      <c r="B633" s="250" t="s">
        <v>2860</v>
      </c>
    </row>
    <row r="634" spans="1:2">
      <c r="A634" s="251" t="s">
        <v>2861</v>
      </c>
      <c r="B634" s="250" t="s">
        <v>2862</v>
      </c>
    </row>
    <row r="635" spans="1:2">
      <c r="A635" s="251" t="s">
        <v>2863</v>
      </c>
      <c r="B635" s="250" t="s">
        <v>2864</v>
      </c>
    </row>
    <row r="636" spans="1:2">
      <c r="A636" s="251" t="s">
        <v>2865</v>
      </c>
      <c r="B636" s="250" t="s">
        <v>2866</v>
      </c>
    </row>
    <row r="637" spans="1:2">
      <c r="A637" s="251" t="s">
        <v>2867</v>
      </c>
      <c r="B637" s="250" t="s">
        <v>2868</v>
      </c>
    </row>
    <row r="638" spans="1:2">
      <c r="A638" s="251" t="s">
        <v>2869</v>
      </c>
      <c r="B638" s="250" t="s">
        <v>2870</v>
      </c>
    </row>
    <row r="639" spans="1:2">
      <c r="A639" s="251" t="s">
        <v>2871</v>
      </c>
      <c r="B639" s="250" t="s">
        <v>2872</v>
      </c>
    </row>
    <row r="640" spans="1:2">
      <c r="A640" s="251" t="s">
        <v>2873</v>
      </c>
      <c r="B640" s="250" t="s">
        <v>2874</v>
      </c>
    </row>
    <row r="641" spans="1:2">
      <c r="A641" s="251" t="s">
        <v>2875</v>
      </c>
      <c r="B641" s="250" t="s">
        <v>2876</v>
      </c>
    </row>
    <row r="642" spans="1:2">
      <c r="A642" s="251" t="s">
        <v>2877</v>
      </c>
      <c r="B642" s="250" t="s">
        <v>2878</v>
      </c>
    </row>
    <row r="643" spans="1:2">
      <c r="A643" s="251" t="s">
        <v>2879</v>
      </c>
      <c r="B643" s="250" t="s">
        <v>2880</v>
      </c>
    </row>
    <row r="644" spans="1:2">
      <c r="A644" s="251" t="s">
        <v>2881</v>
      </c>
      <c r="B644" s="250" t="s">
        <v>2882</v>
      </c>
    </row>
    <row r="645" spans="1:2">
      <c r="A645" s="251" t="s">
        <v>2883</v>
      </c>
      <c r="B645" s="250" t="s">
        <v>2884</v>
      </c>
    </row>
    <row r="646" spans="1:2">
      <c r="A646" s="251" t="s">
        <v>2885</v>
      </c>
      <c r="B646" s="250" t="s">
        <v>2886</v>
      </c>
    </row>
    <row r="647" spans="1:2">
      <c r="A647" s="251" t="s">
        <v>2887</v>
      </c>
      <c r="B647" s="250" t="s">
        <v>2888</v>
      </c>
    </row>
    <row r="648" spans="1:2">
      <c r="A648" s="251" t="s">
        <v>2889</v>
      </c>
      <c r="B648" s="250" t="s">
        <v>2890</v>
      </c>
    </row>
    <row r="649" spans="1:2">
      <c r="A649" s="251" t="s">
        <v>2891</v>
      </c>
      <c r="B649" s="250" t="s">
        <v>2892</v>
      </c>
    </row>
    <row r="650" spans="1:2">
      <c r="A650" s="251" t="s">
        <v>2893</v>
      </c>
      <c r="B650" s="250" t="s">
        <v>2894</v>
      </c>
    </row>
    <row r="651" spans="1:2">
      <c r="A651" s="251" t="s">
        <v>2895</v>
      </c>
      <c r="B651" s="250" t="s">
        <v>2896</v>
      </c>
    </row>
    <row r="652" spans="1:2">
      <c r="A652" s="251" t="s">
        <v>2897</v>
      </c>
      <c r="B652" s="250" t="s">
        <v>2898</v>
      </c>
    </row>
    <row r="653" spans="1:2">
      <c r="A653" s="251" t="s">
        <v>2899</v>
      </c>
      <c r="B653" s="250" t="s">
        <v>2900</v>
      </c>
    </row>
    <row r="654" spans="1:2">
      <c r="A654" s="251" t="s">
        <v>2901</v>
      </c>
      <c r="B654" s="250" t="s">
        <v>2902</v>
      </c>
    </row>
    <row r="655" spans="1:2">
      <c r="A655" s="251" t="s">
        <v>2903</v>
      </c>
      <c r="B655" s="250" t="s">
        <v>2904</v>
      </c>
    </row>
    <row r="656" spans="1:2">
      <c r="A656" s="251" t="s">
        <v>2905</v>
      </c>
      <c r="B656" s="250" t="s">
        <v>2906</v>
      </c>
    </row>
    <row r="657" spans="1:2">
      <c r="A657" s="251" t="s">
        <v>2907</v>
      </c>
      <c r="B657" s="250" t="s">
        <v>2908</v>
      </c>
    </row>
    <row r="658" spans="1:2">
      <c r="A658" s="251" t="s">
        <v>2909</v>
      </c>
      <c r="B658" s="250" t="s">
        <v>2910</v>
      </c>
    </row>
    <row r="659" spans="1:2">
      <c r="A659" s="251" t="s">
        <v>2911</v>
      </c>
      <c r="B659" s="250" t="s">
        <v>2912</v>
      </c>
    </row>
    <row r="660" spans="1:2">
      <c r="A660" s="251" t="s">
        <v>2913</v>
      </c>
      <c r="B660" s="250" t="s">
        <v>2914</v>
      </c>
    </row>
    <row r="661" spans="1:2">
      <c r="A661" s="251" t="s">
        <v>2915</v>
      </c>
      <c r="B661" s="250" t="s">
        <v>2916</v>
      </c>
    </row>
    <row r="662" spans="1:2">
      <c r="A662" s="251" t="s">
        <v>2917</v>
      </c>
      <c r="B662" s="250" t="s">
        <v>2918</v>
      </c>
    </row>
    <row r="663" spans="1:2">
      <c r="A663" s="251" t="s">
        <v>2919</v>
      </c>
      <c r="B663" s="250" t="s">
        <v>2920</v>
      </c>
    </row>
    <row r="664" spans="1:2">
      <c r="A664" s="251" t="s">
        <v>2921</v>
      </c>
      <c r="B664" s="250" t="s">
        <v>2922</v>
      </c>
    </row>
    <row r="665" spans="1:2">
      <c r="A665" s="251" t="s">
        <v>2923</v>
      </c>
      <c r="B665" s="250" t="s">
        <v>2924</v>
      </c>
    </row>
    <row r="666" spans="1:2">
      <c r="A666" s="251" t="s">
        <v>2925</v>
      </c>
      <c r="B666" s="250" t="s">
        <v>2926</v>
      </c>
    </row>
    <row r="667" spans="1:2">
      <c r="A667" s="251" t="s">
        <v>2927</v>
      </c>
      <c r="B667" s="250" t="s">
        <v>2928</v>
      </c>
    </row>
    <row r="668" spans="1:2">
      <c r="A668" s="251" t="s">
        <v>2929</v>
      </c>
      <c r="B668" s="250" t="s">
        <v>2930</v>
      </c>
    </row>
    <row r="669" spans="1:2">
      <c r="A669" s="251" t="s">
        <v>2931</v>
      </c>
      <c r="B669" s="250" t="s">
        <v>2932</v>
      </c>
    </row>
    <row r="670" spans="1:2">
      <c r="A670" s="251" t="s">
        <v>2933</v>
      </c>
      <c r="B670" s="250" t="s">
        <v>2934</v>
      </c>
    </row>
    <row r="671" spans="1:2">
      <c r="A671" s="251" t="s">
        <v>2935</v>
      </c>
      <c r="B671" s="250" t="s">
        <v>2936</v>
      </c>
    </row>
    <row r="672" spans="1:2">
      <c r="A672" s="251" t="s">
        <v>2937</v>
      </c>
      <c r="B672" s="250" t="s">
        <v>2938</v>
      </c>
    </row>
    <row r="673" spans="1:2">
      <c r="A673" s="251" t="s">
        <v>2939</v>
      </c>
      <c r="B673" s="250" t="s">
        <v>2940</v>
      </c>
    </row>
    <row r="674" spans="1:2">
      <c r="A674" s="251" t="s">
        <v>2941</v>
      </c>
      <c r="B674" s="250" t="s">
        <v>2942</v>
      </c>
    </row>
    <row r="675" spans="1:2">
      <c r="A675" s="251" t="s">
        <v>2943</v>
      </c>
      <c r="B675" s="250" t="s">
        <v>2944</v>
      </c>
    </row>
    <row r="676" spans="1:2">
      <c r="A676" s="251" t="s">
        <v>2945</v>
      </c>
      <c r="B676" s="250" t="s">
        <v>2946</v>
      </c>
    </row>
    <row r="677" spans="1:2">
      <c r="A677" s="251" t="s">
        <v>2947</v>
      </c>
      <c r="B677" s="250" t="s">
        <v>2948</v>
      </c>
    </row>
    <row r="678" spans="1:2">
      <c r="A678" s="251" t="s">
        <v>2949</v>
      </c>
      <c r="B678" s="250" t="s">
        <v>2950</v>
      </c>
    </row>
    <row r="679" spans="1:2">
      <c r="A679" s="251" t="s">
        <v>2951</v>
      </c>
      <c r="B679" s="250" t="s">
        <v>2952</v>
      </c>
    </row>
    <row r="680" spans="1:2">
      <c r="A680" s="251" t="s">
        <v>2953</v>
      </c>
      <c r="B680" s="250" t="s">
        <v>2954</v>
      </c>
    </row>
    <row r="681" spans="1:2">
      <c r="A681" s="251" t="s">
        <v>2955</v>
      </c>
      <c r="B681" s="250" t="s">
        <v>2956</v>
      </c>
    </row>
    <row r="682" spans="1:2">
      <c r="A682" s="251" t="s">
        <v>2957</v>
      </c>
      <c r="B682" s="250" t="s">
        <v>2958</v>
      </c>
    </row>
    <row r="683" spans="1:2">
      <c r="A683" s="251" t="s">
        <v>2959</v>
      </c>
      <c r="B683" s="250" t="s">
        <v>2960</v>
      </c>
    </row>
    <row r="684" spans="1:2">
      <c r="A684" s="251" t="s">
        <v>2961</v>
      </c>
      <c r="B684" s="250" t="s">
        <v>2962</v>
      </c>
    </row>
    <row r="685" spans="1:2">
      <c r="A685" s="251" t="s">
        <v>2963</v>
      </c>
      <c r="B685" s="250" t="s">
        <v>2964</v>
      </c>
    </row>
    <row r="686" spans="1:2">
      <c r="A686" s="251" t="s">
        <v>2965</v>
      </c>
      <c r="B686" s="250" t="s">
        <v>2966</v>
      </c>
    </row>
    <row r="687" spans="1:2">
      <c r="A687" s="251" t="s">
        <v>2967</v>
      </c>
      <c r="B687" s="250" t="s">
        <v>2968</v>
      </c>
    </row>
    <row r="688" spans="1:2">
      <c r="A688" s="251" t="s">
        <v>2969</v>
      </c>
      <c r="B688" s="250" t="s">
        <v>2970</v>
      </c>
    </row>
    <row r="689" spans="1:2">
      <c r="A689" s="251" t="s">
        <v>2971</v>
      </c>
      <c r="B689" s="250" t="s">
        <v>2972</v>
      </c>
    </row>
    <row r="690" spans="1:2">
      <c r="A690" s="251" t="s">
        <v>2973</v>
      </c>
      <c r="B690" s="250" t="s">
        <v>2974</v>
      </c>
    </row>
    <row r="691" spans="1:2">
      <c r="A691" s="251" t="s">
        <v>2975</v>
      </c>
      <c r="B691" s="250" t="s">
        <v>2976</v>
      </c>
    </row>
    <row r="692" spans="1:2">
      <c r="A692" s="251" t="s">
        <v>2977</v>
      </c>
      <c r="B692" s="250" t="s">
        <v>2978</v>
      </c>
    </row>
    <row r="693" spans="1:2">
      <c r="A693" s="251" t="s">
        <v>2979</v>
      </c>
      <c r="B693" s="250" t="s">
        <v>2980</v>
      </c>
    </row>
    <row r="694" spans="1:2">
      <c r="A694" s="251" t="s">
        <v>2981</v>
      </c>
      <c r="B694" s="250" t="s">
        <v>2982</v>
      </c>
    </row>
    <row r="695" spans="1:2">
      <c r="A695" s="251" t="s">
        <v>2983</v>
      </c>
      <c r="B695" s="250" t="s">
        <v>2984</v>
      </c>
    </row>
    <row r="696" spans="1:2">
      <c r="A696" s="251" t="s">
        <v>2985</v>
      </c>
      <c r="B696" s="250" t="s">
        <v>2986</v>
      </c>
    </row>
    <row r="697" spans="1:2">
      <c r="A697" s="251" t="s">
        <v>2987</v>
      </c>
      <c r="B697" s="250" t="s">
        <v>2988</v>
      </c>
    </row>
    <row r="698" spans="1:2">
      <c r="A698" s="251" t="s">
        <v>2989</v>
      </c>
      <c r="B698" s="250" t="s">
        <v>2990</v>
      </c>
    </row>
    <row r="699" spans="1:2">
      <c r="A699" s="251" t="s">
        <v>2991</v>
      </c>
      <c r="B699" s="250" t="s">
        <v>2992</v>
      </c>
    </row>
    <row r="700" spans="1:2">
      <c r="A700" s="251" t="s">
        <v>2993</v>
      </c>
      <c r="B700" s="250" t="s">
        <v>2994</v>
      </c>
    </row>
    <row r="701" spans="1:2">
      <c r="A701" s="251" t="s">
        <v>2995</v>
      </c>
      <c r="B701" s="250" t="s">
        <v>2996</v>
      </c>
    </row>
    <row r="702" spans="1:2">
      <c r="A702" s="251" t="s">
        <v>2997</v>
      </c>
      <c r="B702" s="250" t="s">
        <v>2998</v>
      </c>
    </row>
    <row r="703" spans="1:2">
      <c r="A703" s="251" t="s">
        <v>2999</v>
      </c>
      <c r="B703" s="250" t="s">
        <v>3000</v>
      </c>
    </row>
    <row r="704" spans="1:2">
      <c r="A704" s="251" t="s">
        <v>3001</v>
      </c>
      <c r="B704" s="250" t="s">
        <v>3002</v>
      </c>
    </row>
    <row r="705" spans="1:2">
      <c r="A705" s="251" t="s">
        <v>3003</v>
      </c>
      <c r="B705" s="250" t="s">
        <v>3004</v>
      </c>
    </row>
    <row r="706" spans="1:2">
      <c r="A706" s="251" t="s">
        <v>3005</v>
      </c>
      <c r="B706" s="250" t="s">
        <v>3006</v>
      </c>
    </row>
    <row r="707" spans="1:2">
      <c r="A707" s="251" t="s">
        <v>3007</v>
      </c>
      <c r="B707" s="250" t="s">
        <v>3008</v>
      </c>
    </row>
    <row r="708" spans="1:2">
      <c r="A708" s="251" t="s">
        <v>3009</v>
      </c>
      <c r="B708" s="250" t="s">
        <v>3010</v>
      </c>
    </row>
    <row r="709" spans="1:2">
      <c r="A709" s="251" t="s">
        <v>3011</v>
      </c>
      <c r="B709" s="250" t="s">
        <v>3012</v>
      </c>
    </row>
    <row r="710" spans="1:2">
      <c r="A710" s="251" t="s">
        <v>3013</v>
      </c>
      <c r="B710" s="250" t="s">
        <v>3014</v>
      </c>
    </row>
    <row r="711" spans="1:2">
      <c r="A711" s="251" t="s">
        <v>3015</v>
      </c>
      <c r="B711" s="250" t="s">
        <v>3016</v>
      </c>
    </row>
    <row r="712" spans="1:2">
      <c r="A712" s="251" t="s">
        <v>3017</v>
      </c>
      <c r="B712" s="250" t="s">
        <v>3018</v>
      </c>
    </row>
    <row r="713" spans="1:2">
      <c r="A713" s="251" t="s">
        <v>3019</v>
      </c>
      <c r="B713" s="250" t="s">
        <v>3020</v>
      </c>
    </row>
    <row r="714" spans="1:2">
      <c r="A714" s="251" t="s">
        <v>3021</v>
      </c>
      <c r="B714" s="250" t="s">
        <v>3022</v>
      </c>
    </row>
    <row r="715" spans="1:2">
      <c r="A715" s="251" t="s">
        <v>3023</v>
      </c>
      <c r="B715" s="250" t="s">
        <v>3024</v>
      </c>
    </row>
    <row r="716" spans="1:2">
      <c r="A716" s="251" t="s">
        <v>3025</v>
      </c>
      <c r="B716" s="250" t="s">
        <v>3026</v>
      </c>
    </row>
    <row r="717" spans="1:2">
      <c r="A717" s="251" t="s">
        <v>3027</v>
      </c>
      <c r="B717" s="250" t="s">
        <v>3028</v>
      </c>
    </row>
    <row r="718" spans="1:2">
      <c r="A718" s="251" t="s">
        <v>3029</v>
      </c>
      <c r="B718" s="250" t="s">
        <v>3030</v>
      </c>
    </row>
    <row r="719" spans="1:2">
      <c r="A719" s="251" t="s">
        <v>3031</v>
      </c>
      <c r="B719" s="250" t="s">
        <v>3032</v>
      </c>
    </row>
    <row r="720" spans="1:2">
      <c r="A720" s="251" t="s">
        <v>3033</v>
      </c>
      <c r="B720" s="250" t="s">
        <v>3034</v>
      </c>
    </row>
    <row r="721" spans="1:2">
      <c r="A721" s="251" t="s">
        <v>3035</v>
      </c>
      <c r="B721" s="250" t="s">
        <v>3036</v>
      </c>
    </row>
    <row r="722" spans="1:2">
      <c r="A722" s="251" t="s">
        <v>3037</v>
      </c>
      <c r="B722" s="250" t="s">
        <v>3038</v>
      </c>
    </row>
    <row r="723" spans="1:2">
      <c r="A723" s="251" t="s">
        <v>3039</v>
      </c>
      <c r="B723" s="250" t="s">
        <v>3040</v>
      </c>
    </row>
    <row r="724" spans="1:2">
      <c r="A724" s="251" t="s">
        <v>3041</v>
      </c>
      <c r="B724" s="250" t="s">
        <v>3042</v>
      </c>
    </row>
    <row r="725" spans="1:2">
      <c r="A725" s="251" t="s">
        <v>3043</v>
      </c>
      <c r="B725" s="250" t="s">
        <v>3044</v>
      </c>
    </row>
    <row r="726" spans="1:2">
      <c r="A726" s="251" t="s">
        <v>3045</v>
      </c>
      <c r="B726" s="250" t="s">
        <v>3046</v>
      </c>
    </row>
    <row r="727" spans="1:2">
      <c r="A727" s="251" t="s">
        <v>3047</v>
      </c>
      <c r="B727" s="250" t="s">
        <v>3048</v>
      </c>
    </row>
    <row r="728" spans="1:2">
      <c r="A728" s="251" t="s">
        <v>3049</v>
      </c>
      <c r="B728" s="250" t="s">
        <v>3050</v>
      </c>
    </row>
    <row r="729" spans="1:2">
      <c r="A729" s="251" t="s">
        <v>3051</v>
      </c>
      <c r="B729" s="250" t="s">
        <v>3052</v>
      </c>
    </row>
    <row r="730" spans="1:2">
      <c r="A730" s="251" t="s">
        <v>3053</v>
      </c>
      <c r="B730" s="250" t="s">
        <v>3054</v>
      </c>
    </row>
    <row r="731" spans="1:2">
      <c r="A731" s="251" t="s">
        <v>3055</v>
      </c>
      <c r="B731" s="250" t="s">
        <v>3056</v>
      </c>
    </row>
    <row r="732" spans="1:2">
      <c r="A732" s="251" t="s">
        <v>3057</v>
      </c>
      <c r="B732" s="250" t="s">
        <v>3058</v>
      </c>
    </row>
    <row r="733" spans="1:2">
      <c r="A733" s="251" t="s">
        <v>3059</v>
      </c>
      <c r="B733" s="250" t="s">
        <v>3060</v>
      </c>
    </row>
    <row r="734" spans="1:2">
      <c r="A734" s="251" t="s">
        <v>3061</v>
      </c>
      <c r="B734" s="250" t="s">
        <v>3062</v>
      </c>
    </row>
    <row r="735" spans="1:2">
      <c r="A735" s="251" t="s">
        <v>3063</v>
      </c>
      <c r="B735" s="250" t="s">
        <v>3064</v>
      </c>
    </row>
    <row r="736" spans="1:2">
      <c r="A736" s="251" t="s">
        <v>3065</v>
      </c>
      <c r="B736" s="250" t="s">
        <v>3066</v>
      </c>
    </row>
    <row r="737" spans="1:2">
      <c r="A737" s="251" t="s">
        <v>3067</v>
      </c>
      <c r="B737" s="250" t="s">
        <v>3068</v>
      </c>
    </row>
    <row r="738" spans="1:2">
      <c r="A738" s="251" t="s">
        <v>3069</v>
      </c>
      <c r="B738" s="250" t="s">
        <v>3070</v>
      </c>
    </row>
    <row r="739" spans="1:2">
      <c r="A739" s="251" t="s">
        <v>3071</v>
      </c>
      <c r="B739" s="250" t="s">
        <v>3072</v>
      </c>
    </row>
    <row r="740" spans="1:2">
      <c r="A740" s="251" t="s">
        <v>3073</v>
      </c>
      <c r="B740" s="250" t="s">
        <v>3074</v>
      </c>
    </row>
    <row r="741" spans="1:2">
      <c r="A741" s="251" t="s">
        <v>3075</v>
      </c>
      <c r="B741" s="250" t="s">
        <v>3076</v>
      </c>
    </row>
    <row r="742" spans="1:2">
      <c r="A742" s="251" t="s">
        <v>3077</v>
      </c>
      <c r="B742" s="250" t="s">
        <v>3078</v>
      </c>
    </row>
    <row r="743" spans="1:2">
      <c r="A743" s="251" t="s">
        <v>3079</v>
      </c>
      <c r="B743" s="250" t="s">
        <v>3080</v>
      </c>
    </row>
    <row r="744" spans="1:2">
      <c r="A744" s="251" t="s">
        <v>3081</v>
      </c>
      <c r="B744" s="250" t="s">
        <v>3082</v>
      </c>
    </row>
    <row r="745" spans="1:2">
      <c r="A745" s="251" t="s">
        <v>3083</v>
      </c>
      <c r="B745" s="250" t="s">
        <v>3084</v>
      </c>
    </row>
    <row r="746" spans="1:2">
      <c r="A746" s="251" t="s">
        <v>3085</v>
      </c>
      <c r="B746" s="250" t="s">
        <v>3086</v>
      </c>
    </row>
    <row r="747" spans="1:2">
      <c r="A747" s="251" t="s">
        <v>3087</v>
      </c>
      <c r="B747" s="250" t="s">
        <v>3088</v>
      </c>
    </row>
    <row r="748" spans="1:2">
      <c r="A748" s="251" t="s">
        <v>3089</v>
      </c>
      <c r="B748" s="250" t="s">
        <v>3090</v>
      </c>
    </row>
    <row r="749" spans="1:2">
      <c r="A749" s="251" t="s">
        <v>3091</v>
      </c>
      <c r="B749" s="250" t="s">
        <v>3092</v>
      </c>
    </row>
    <row r="750" spans="1:2">
      <c r="A750" s="251" t="s">
        <v>3093</v>
      </c>
      <c r="B750" s="250" t="s">
        <v>3094</v>
      </c>
    </row>
    <row r="751" spans="1:2">
      <c r="A751" s="251" t="s">
        <v>3095</v>
      </c>
      <c r="B751" s="250" t="s">
        <v>3096</v>
      </c>
    </row>
    <row r="752" spans="1:2">
      <c r="A752" s="251" t="s">
        <v>3097</v>
      </c>
      <c r="B752" s="250" t="s">
        <v>3098</v>
      </c>
    </row>
    <row r="753" spans="1:2">
      <c r="A753" s="251" t="s">
        <v>3099</v>
      </c>
      <c r="B753" s="250" t="s">
        <v>3100</v>
      </c>
    </row>
    <row r="754" spans="1:2">
      <c r="A754" s="251" t="s">
        <v>3101</v>
      </c>
      <c r="B754" s="250" t="s">
        <v>3102</v>
      </c>
    </row>
    <row r="755" spans="1:2">
      <c r="A755" s="251" t="s">
        <v>3103</v>
      </c>
      <c r="B755" s="250" t="s">
        <v>3104</v>
      </c>
    </row>
    <row r="756" spans="1:2">
      <c r="A756" s="251" t="s">
        <v>3105</v>
      </c>
      <c r="B756" s="250" t="s">
        <v>3106</v>
      </c>
    </row>
    <row r="757" spans="1:2">
      <c r="A757" s="251" t="s">
        <v>3107</v>
      </c>
      <c r="B757" s="250" t="s">
        <v>3108</v>
      </c>
    </row>
    <row r="758" spans="1:2">
      <c r="A758" s="251" t="s">
        <v>3109</v>
      </c>
      <c r="B758" s="250" t="s">
        <v>3110</v>
      </c>
    </row>
    <row r="759" spans="1:2">
      <c r="A759" s="251" t="s">
        <v>3111</v>
      </c>
      <c r="B759" s="250" t="s">
        <v>3112</v>
      </c>
    </row>
    <row r="760" spans="1:2">
      <c r="A760" s="251" t="s">
        <v>3113</v>
      </c>
      <c r="B760" s="250" t="s">
        <v>3114</v>
      </c>
    </row>
    <row r="761" spans="1:2">
      <c r="A761" s="251" t="s">
        <v>3115</v>
      </c>
      <c r="B761" s="250" t="s">
        <v>3116</v>
      </c>
    </row>
    <row r="762" spans="1:2">
      <c r="A762" s="251" t="s">
        <v>3117</v>
      </c>
      <c r="B762" s="250" t="s">
        <v>3118</v>
      </c>
    </row>
    <row r="763" spans="1:2">
      <c r="A763" s="251" t="s">
        <v>3119</v>
      </c>
      <c r="B763" s="250" t="s">
        <v>3120</v>
      </c>
    </row>
    <row r="764" spans="1:2">
      <c r="A764" s="251" t="s">
        <v>3121</v>
      </c>
      <c r="B764" s="250" t="s">
        <v>3122</v>
      </c>
    </row>
    <row r="765" spans="1:2">
      <c r="A765" s="251" t="s">
        <v>3123</v>
      </c>
      <c r="B765" s="250" t="s">
        <v>3124</v>
      </c>
    </row>
    <row r="766" spans="1:2">
      <c r="A766" s="251" t="s">
        <v>3125</v>
      </c>
      <c r="B766" s="250" t="s">
        <v>3126</v>
      </c>
    </row>
    <row r="767" spans="1:2">
      <c r="A767" s="251" t="s">
        <v>3127</v>
      </c>
      <c r="B767" s="250" t="s">
        <v>3128</v>
      </c>
    </row>
    <row r="768" spans="1:2">
      <c r="A768" s="251" t="s">
        <v>3129</v>
      </c>
      <c r="B768" s="250" t="s">
        <v>3130</v>
      </c>
    </row>
    <row r="769" spans="1:2">
      <c r="A769" s="251" t="s">
        <v>3131</v>
      </c>
      <c r="B769" s="250" t="s">
        <v>3132</v>
      </c>
    </row>
    <row r="770" spans="1:2">
      <c r="A770" s="251" t="s">
        <v>3133</v>
      </c>
      <c r="B770" s="250" t="s">
        <v>3134</v>
      </c>
    </row>
    <row r="771" spans="1:2">
      <c r="A771" s="251" t="s">
        <v>3135</v>
      </c>
      <c r="B771" s="250" t="s">
        <v>3136</v>
      </c>
    </row>
    <row r="772" spans="1:2">
      <c r="A772" s="251" t="s">
        <v>3137</v>
      </c>
      <c r="B772" s="250" t="s">
        <v>3138</v>
      </c>
    </row>
    <row r="773" spans="1:2">
      <c r="A773" s="251" t="s">
        <v>3139</v>
      </c>
      <c r="B773" s="250" t="s">
        <v>3140</v>
      </c>
    </row>
    <row r="774" spans="1:2">
      <c r="A774" s="251" t="s">
        <v>3141</v>
      </c>
      <c r="B774" s="250" t="s">
        <v>3142</v>
      </c>
    </row>
    <row r="775" spans="1:2">
      <c r="A775" s="251" t="s">
        <v>3143</v>
      </c>
      <c r="B775" s="250" t="s">
        <v>3144</v>
      </c>
    </row>
    <row r="776" spans="1:2">
      <c r="A776" s="251" t="s">
        <v>3145</v>
      </c>
      <c r="B776" s="250" t="s">
        <v>3146</v>
      </c>
    </row>
    <row r="777" spans="1:2">
      <c r="A777" s="251" t="s">
        <v>3147</v>
      </c>
      <c r="B777" s="250" t="s">
        <v>3148</v>
      </c>
    </row>
    <row r="778" spans="1:2">
      <c r="A778" s="251" t="s">
        <v>3149</v>
      </c>
      <c r="B778" s="250" t="s">
        <v>3150</v>
      </c>
    </row>
    <row r="779" spans="1:2">
      <c r="A779" s="251" t="s">
        <v>3151</v>
      </c>
      <c r="B779" s="250" t="s">
        <v>3152</v>
      </c>
    </row>
    <row r="780" spans="1:2">
      <c r="A780" s="251" t="s">
        <v>3153</v>
      </c>
      <c r="B780" s="250" t="s">
        <v>3154</v>
      </c>
    </row>
    <row r="781" spans="1:2">
      <c r="A781" s="251" t="s">
        <v>3155</v>
      </c>
      <c r="B781" s="250" t="s">
        <v>3156</v>
      </c>
    </row>
    <row r="782" spans="1:2">
      <c r="A782" s="251" t="s">
        <v>3157</v>
      </c>
      <c r="B782" s="250" t="s">
        <v>3158</v>
      </c>
    </row>
    <row r="783" spans="1:2">
      <c r="A783" s="251" t="s">
        <v>3159</v>
      </c>
      <c r="B783" s="250" t="s">
        <v>3160</v>
      </c>
    </row>
    <row r="784" spans="1:2">
      <c r="A784" s="251" t="s">
        <v>3161</v>
      </c>
      <c r="B784" s="250" t="s">
        <v>3162</v>
      </c>
    </row>
    <row r="785" spans="1:2">
      <c r="A785" s="251" t="s">
        <v>3163</v>
      </c>
      <c r="B785" s="250" t="s">
        <v>3164</v>
      </c>
    </row>
    <row r="786" spans="1:2">
      <c r="A786" s="251" t="s">
        <v>3165</v>
      </c>
      <c r="B786" s="250" t="s">
        <v>3166</v>
      </c>
    </row>
    <row r="787" spans="1:2">
      <c r="A787" s="251" t="s">
        <v>3167</v>
      </c>
      <c r="B787" s="250" t="s">
        <v>2538</v>
      </c>
    </row>
    <row r="788" spans="1:2">
      <c r="A788" s="251" t="s">
        <v>3168</v>
      </c>
      <c r="B788" s="250" t="s">
        <v>3169</v>
      </c>
    </row>
    <row r="789" spans="1:2">
      <c r="A789" s="251" t="s">
        <v>3170</v>
      </c>
      <c r="B789" s="250" t="s">
        <v>3171</v>
      </c>
    </row>
    <row r="790" spans="1:2">
      <c r="A790" s="251" t="s">
        <v>3172</v>
      </c>
      <c r="B790" s="250" t="s">
        <v>3173</v>
      </c>
    </row>
    <row r="791" spans="1:2">
      <c r="A791" s="251" t="s">
        <v>3174</v>
      </c>
      <c r="B791" s="250" t="s">
        <v>3175</v>
      </c>
    </row>
    <row r="792" spans="1:2">
      <c r="A792" s="251" t="s">
        <v>3176</v>
      </c>
      <c r="B792" s="250" t="s">
        <v>3177</v>
      </c>
    </row>
    <row r="793" spans="1:2">
      <c r="A793" s="251" t="s">
        <v>3178</v>
      </c>
      <c r="B793" s="250" t="s">
        <v>3179</v>
      </c>
    </row>
    <row r="794" spans="1:2">
      <c r="A794" s="251" t="s">
        <v>3180</v>
      </c>
      <c r="B794" s="250" t="s">
        <v>3181</v>
      </c>
    </row>
    <row r="795" spans="1:2">
      <c r="A795" s="251" t="s">
        <v>3182</v>
      </c>
      <c r="B795" s="250" t="s">
        <v>3183</v>
      </c>
    </row>
    <row r="796" spans="1:2">
      <c r="A796" s="251" t="s">
        <v>3184</v>
      </c>
      <c r="B796" s="250" t="s">
        <v>3185</v>
      </c>
    </row>
    <row r="797" spans="1:2">
      <c r="A797" s="251" t="s">
        <v>3186</v>
      </c>
      <c r="B797" s="250" t="s">
        <v>3187</v>
      </c>
    </row>
    <row r="798" spans="1:2">
      <c r="A798" s="251" t="s">
        <v>3188</v>
      </c>
      <c r="B798" s="250" t="s">
        <v>3189</v>
      </c>
    </row>
    <row r="799" spans="1:2">
      <c r="A799" s="251" t="s">
        <v>3190</v>
      </c>
      <c r="B799" s="250" t="s">
        <v>3191</v>
      </c>
    </row>
    <row r="800" spans="1:2">
      <c r="A800" s="251" t="s">
        <v>3192</v>
      </c>
      <c r="B800" s="250" t="s">
        <v>3193</v>
      </c>
    </row>
    <row r="801" spans="1:2">
      <c r="A801" s="251" t="s">
        <v>3194</v>
      </c>
      <c r="B801" s="250" t="s">
        <v>3195</v>
      </c>
    </row>
    <row r="802" spans="1:2">
      <c r="A802" s="251" t="s">
        <v>3196</v>
      </c>
      <c r="B802" s="250" t="s">
        <v>3197</v>
      </c>
    </row>
    <row r="803" spans="1:2">
      <c r="A803" s="251" t="s">
        <v>3198</v>
      </c>
      <c r="B803" s="250" t="s">
        <v>3199</v>
      </c>
    </row>
    <row r="804" spans="1:2">
      <c r="A804" s="251" t="s">
        <v>3200</v>
      </c>
      <c r="B804" s="250" t="s">
        <v>3201</v>
      </c>
    </row>
    <row r="805" spans="1:2">
      <c r="A805" s="251" t="s">
        <v>3202</v>
      </c>
      <c r="B805" s="250" t="s">
        <v>3203</v>
      </c>
    </row>
    <row r="806" spans="1:2">
      <c r="A806" s="251" t="s">
        <v>3204</v>
      </c>
      <c r="B806" s="250" t="s">
        <v>3205</v>
      </c>
    </row>
    <row r="807" spans="1:2">
      <c r="A807" s="251" t="s">
        <v>3206</v>
      </c>
      <c r="B807" s="250" t="s">
        <v>3207</v>
      </c>
    </row>
    <row r="808" spans="1:2">
      <c r="A808" s="251" t="s">
        <v>3208</v>
      </c>
      <c r="B808" s="250" t="s">
        <v>3209</v>
      </c>
    </row>
    <row r="809" spans="1:2">
      <c r="A809" s="251" t="s">
        <v>3210</v>
      </c>
      <c r="B809" s="250" t="s">
        <v>3211</v>
      </c>
    </row>
    <row r="810" spans="1:2">
      <c r="A810" s="251" t="s">
        <v>3212</v>
      </c>
      <c r="B810" s="250" t="s">
        <v>3213</v>
      </c>
    </row>
    <row r="811" spans="1:2">
      <c r="A811" s="251" t="s">
        <v>3214</v>
      </c>
      <c r="B811" s="250" t="s">
        <v>3215</v>
      </c>
    </row>
    <row r="812" spans="1:2">
      <c r="A812" s="251" t="s">
        <v>3216</v>
      </c>
      <c r="B812" s="250" t="s">
        <v>3217</v>
      </c>
    </row>
    <row r="813" spans="1:2">
      <c r="A813" s="251" t="s">
        <v>3218</v>
      </c>
      <c r="B813" s="250" t="s">
        <v>3219</v>
      </c>
    </row>
    <row r="814" spans="1:2">
      <c r="A814" s="251" t="s">
        <v>3220</v>
      </c>
      <c r="B814" s="250" t="s">
        <v>3221</v>
      </c>
    </row>
    <row r="815" spans="1:2">
      <c r="A815" s="251" t="s">
        <v>3222</v>
      </c>
      <c r="B815" s="250" t="s">
        <v>3223</v>
      </c>
    </row>
    <row r="816" spans="1:2">
      <c r="A816" s="251" t="s">
        <v>3224</v>
      </c>
      <c r="B816" s="250" t="s">
        <v>3225</v>
      </c>
    </row>
    <row r="817" spans="1:2">
      <c r="A817" s="251" t="s">
        <v>3226</v>
      </c>
      <c r="B817" s="250" t="s">
        <v>3227</v>
      </c>
    </row>
    <row r="818" spans="1:2">
      <c r="A818" s="251" t="s">
        <v>3228</v>
      </c>
      <c r="B818" s="250" t="s">
        <v>3229</v>
      </c>
    </row>
    <row r="819" spans="1:2">
      <c r="A819" s="251" t="s">
        <v>3230</v>
      </c>
      <c r="B819" s="250" t="s">
        <v>3231</v>
      </c>
    </row>
    <row r="820" spans="1:2">
      <c r="A820" s="251" t="s">
        <v>3232</v>
      </c>
      <c r="B820" s="250" t="s">
        <v>3233</v>
      </c>
    </row>
    <row r="821" spans="1:2">
      <c r="A821" s="251" t="s">
        <v>3234</v>
      </c>
      <c r="B821" s="250" t="s">
        <v>3235</v>
      </c>
    </row>
    <row r="822" spans="1:2">
      <c r="A822" s="251" t="s">
        <v>3236</v>
      </c>
      <c r="B822" s="250" t="s">
        <v>3237</v>
      </c>
    </row>
    <row r="823" spans="1:2">
      <c r="A823" s="251" t="s">
        <v>3238</v>
      </c>
      <c r="B823" s="250" t="s">
        <v>3239</v>
      </c>
    </row>
    <row r="824" spans="1:2">
      <c r="A824" s="251" t="s">
        <v>3240</v>
      </c>
      <c r="B824" s="250" t="s">
        <v>3241</v>
      </c>
    </row>
    <row r="825" spans="1:2">
      <c r="A825" s="251" t="s">
        <v>3242</v>
      </c>
      <c r="B825" s="250" t="s">
        <v>3243</v>
      </c>
    </row>
    <row r="826" spans="1:2">
      <c r="A826" s="251" t="s">
        <v>3244</v>
      </c>
      <c r="B826" s="250" t="s">
        <v>3245</v>
      </c>
    </row>
    <row r="827" spans="1:2">
      <c r="A827" s="251" t="s">
        <v>3246</v>
      </c>
      <c r="B827" s="250" t="s">
        <v>3247</v>
      </c>
    </row>
    <row r="828" spans="1:2">
      <c r="A828" s="251" t="s">
        <v>3248</v>
      </c>
      <c r="B828" s="250" t="s">
        <v>3249</v>
      </c>
    </row>
    <row r="829" spans="1:2">
      <c r="A829" s="251" t="s">
        <v>3250</v>
      </c>
      <c r="B829" s="250" t="s">
        <v>3251</v>
      </c>
    </row>
    <row r="830" spans="1:2">
      <c r="A830" s="251" t="s">
        <v>3252</v>
      </c>
      <c r="B830" s="250" t="s">
        <v>3253</v>
      </c>
    </row>
    <row r="831" spans="1:2">
      <c r="A831" s="251" t="s">
        <v>3254</v>
      </c>
      <c r="B831" s="250" t="s">
        <v>3185</v>
      </c>
    </row>
    <row r="832" spans="1:2">
      <c r="A832" s="251" t="s">
        <v>3255</v>
      </c>
      <c r="B832" s="250" t="s">
        <v>3191</v>
      </c>
    </row>
    <row r="833" spans="1:2">
      <c r="A833" s="251" t="s">
        <v>3256</v>
      </c>
      <c r="B833" s="250" t="s">
        <v>3257</v>
      </c>
    </row>
    <row r="834" spans="1:2">
      <c r="A834" s="251" t="s">
        <v>3258</v>
      </c>
      <c r="B834" s="250" t="s">
        <v>3259</v>
      </c>
    </row>
    <row r="835" spans="1:2">
      <c r="A835" s="251" t="s">
        <v>3260</v>
      </c>
      <c r="B835" s="250" t="s">
        <v>3261</v>
      </c>
    </row>
    <row r="836" spans="1:2">
      <c r="A836" s="251" t="s">
        <v>3262</v>
      </c>
      <c r="B836" s="250" t="s">
        <v>3263</v>
      </c>
    </row>
    <row r="837" spans="1:2">
      <c r="A837" s="251" t="s">
        <v>3264</v>
      </c>
      <c r="B837" s="250" t="s">
        <v>3265</v>
      </c>
    </row>
    <row r="838" spans="1:2">
      <c r="A838" s="251" t="s">
        <v>3266</v>
      </c>
      <c r="B838" s="250" t="s">
        <v>3267</v>
      </c>
    </row>
    <row r="839" spans="1:2">
      <c r="A839" s="251" t="s">
        <v>3268</v>
      </c>
      <c r="B839" s="250" t="s">
        <v>3269</v>
      </c>
    </row>
    <row r="840" spans="1:2">
      <c r="A840" s="251" t="s">
        <v>3270</v>
      </c>
      <c r="B840" s="250" t="s">
        <v>3271</v>
      </c>
    </row>
    <row r="841" spans="1:2">
      <c r="A841" s="251" t="s">
        <v>3272</v>
      </c>
      <c r="B841" s="250" t="s">
        <v>3273</v>
      </c>
    </row>
    <row r="842" spans="1:2">
      <c r="A842" s="251" t="s">
        <v>3274</v>
      </c>
      <c r="B842" s="250" t="s">
        <v>3275</v>
      </c>
    </row>
    <row r="843" spans="1:2">
      <c r="A843" s="251" t="s">
        <v>3276</v>
      </c>
      <c r="B843" s="250" t="s">
        <v>3277</v>
      </c>
    </row>
    <row r="844" spans="1:2">
      <c r="A844" s="251" t="s">
        <v>3278</v>
      </c>
      <c r="B844" s="250" t="s">
        <v>3279</v>
      </c>
    </row>
    <row r="845" spans="1:2">
      <c r="A845" s="251" t="s">
        <v>3280</v>
      </c>
      <c r="B845" s="250" t="s">
        <v>3281</v>
      </c>
    </row>
    <row r="846" spans="1:2">
      <c r="A846" s="251" t="s">
        <v>3282</v>
      </c>
      <c r="B846" s="250" t="s">
        <v>3283</v>
      </c>
    </row>
    <row r="847" spans="1:2">
      <c r="A847" s="251" t="s">
        <v>3284</v>
      </c>
      <c r="B847" s="250" t="s">
        <v>3285</v>
      </c>
    </row>
    <row r="848" spans="1:2">
      <c r="A848" s="251" t="s">
        <v>3286</v>
      </c>
      <c r="B848" s="250" t="s">
        <v>3287</v>
      </c>
    </row>
    <row r="849" spans="1:2">
      <c r="A849" s="251" t="s">
        <v>3288</v>
      </c>
      <c r="B849" s="250" t="s">
        <v>3289</v>
      </c>
    </row>
    <row r="850" spans="1:2">
      <c r="A850" s="251" t="s">
        <v>3290</v>
      </c>
      <c r="B850" s="250" t="s">
        <v>3291</v>
      </c>
    </row>
    <row r="851" spans="1:2">
      <c r="A851" s="251" t="s">
        <v>3292</v>
      </c>
      <c r="B851" s="250" t="s">
        <v>3293</v>
      </c>
    </row>
    <row r="852" spans="1:2">
      <c r="A852" s="251" t="s">
        <v>3294</v>
      </c>
      <c r="B852" s="250" t="s">
        <v>3295</v>
      </c>
    </row>
    <row r="853" spans="1:2">
      <c r="A853" s="251" t="s">
        <v>3296</v>
      </c>
      <c r="B853" s="250" t="s">
        <v>3297</v>
      </c>
    </row>
    <row r="854" spans="1:2">
      <c r="A854" s="251" t="s">
        <v>3298</v>
      </c>
      <c r="B854" s="250" t="s">
        <v>3299</v>
      </c>
    </row>
    <row r="855" spans="1:2">
      <c r="A855" s="251" t="s">
        <v>3300</v>
      </c>
      <c r="B855" s="250" t="s">
        <v>3301</v>
      </c>
    </row>
    <row r="856" spans="1:2">
      <c r="A856" s="251" t="s">
        <v>3302</v>
      </c>
      <c r="B856" s="250" t="s">
        <v>3303</v>
      </c>
    </row>
    <row r="857" spans="1:2">
      <c r="A857" s="251" t="s">
        <v>3304</v>
      </c>
      <c r="B857" s="250" t="s">
        <v>3305</v>
      </c>
    </row>
    <row r="858" spans="1:2">
      <c r="A858" s="251" t="s">
        <v>3306</v>
      </c>
      <c r="B858" s="250" t="s">
        <v>3307</v>
      </c>
    </row>
    <row r="859" spans="1:2">
      <c r="A859" s="251" t="s">
        <v>3308</v>
      </c>
      <c r="B859" s="250" t="s">
        <v>3309</v>
      </c>
    </row>
    <row r="860" spans="1:2">
      <c r="A860" s="251" t="s">
        <v>3310</v>
      </c>
      <c r="B860" s="250" t="s">
        <v>3311</v>
      </c>
    </row>
    <row r="861" spans="1:2">
      <c r="A861" s="251" t="s">
        <v>3312</v>
      </c>
      <c r="B861" s="250" t="s">
        <v>3313</v>
      </c>
    </row>
    <row r="862" spans="1:2">
      <c r="A862" s="251" t="s">
        <v>3314</v>
      </c>
      <c r="B862" s="250" t="s">
        <v>3315</v>
      </c>
    </row>
    <row r="863" spans="1:2">
      <c r="A863" s="251" t="s">
        <v>3316</v>
      </c>
      <c r="B863" s="250" t="s">
        <v>3317</v>
      </c>
    </row>
    <row r="864" spans="1:2">
      <c r="A864" s="251" t="s">
        <v>3318</v>
      </c>
      <c r="B864" s="250" t="s">
        <v>3319</v>
      </c>
    </row>
    <row r="865" spans="1:2">
      <c r="A865" s="251" t="s">
        <v>3320</v>
      </c>
      <c r="B865" s="250" t="s">
        <v>3321</v>
      </c>
    </row>
    <row r="866" spans="1:2">
      <c r="A866" s="251" t="s">
        <v>3322</v>
      </c>
      <c r="B866" s="250" t="s">
        <v>2968</v>
      </c>
    </row>
    <row r="867" spans="1:2">
      <c r="A867" s="251" t="s">
        <v>3323</v>
      </c>
      <c r="B867" s="250" t="s">
        <v>3324</v>
      </c>
    </row>
    <row r="868" spans="1:2">
      <c r="A868" s="251" t="s">
        <v>3325</v>
      </c>
      <c r="B868" s="250" t="s">
        <v>3326</v>
      </c>
    </row>
    <row r="869" spans="1:2">
      <c r="A869" s="251" t="s">
        <v>3327</v>
      </c>
      <c r="B869" s="250" t="s">
        <v>3328</v>
      </c>
    </row>
    <row r="870" spans="1:2">
      <c r="A870" s="251" t="s">
        <v>3329</v>
      </c>
      <c r="B870" s="250" t="s">
        <v>3330</v>
      </c>
    </row>
    <row r="871" spans="1:2">
      <c r="A871" s="251" t="s">
        <v>3331</v>
      </c>
      <c r="B871" s="250" t="s">
        <v>3332</v>
      </c>
    </row>
    <row r="872" spans="1:2">
      <c r="A872" s="251" t="s">
        <v>3333</v>
      </c>
      <c r="B872" s="250" t="s">
        <v>3334</v>
      </c>
    </row>
    <row r="873" spans="1:2">
      <c r="A873" s="251" t="s">
        <v>3335</v>
      </c>
      <c r="B873" s="250" t="s">
        <v>3336</v>
      </c>
    </row>
    <row r="874" spans="1:2">
      <c r="A874" s="251" t="s">
        <v>3337</v>
      </c>
      <c r="B874" s="250" t="s">
        <v>3338</v>
      </c>
    </row>
    <row r="875" spans="1:2">
      <c r="A875" s="251" t="s">
        <v>3339</v>
      </c>
      <c r="B875" s="250" t="s">
        <v>3340</v>
      </c>
    </row>
    <row r="876" spans="1:2">
      <c r="A876" s="251" t="s">
        <v>3341</v>
      </c>
      <c r="B876" s="250" t="s">
        <v>3342</v>
      </c>
    </row>
    <row r="877" spans="1:2">
      <c r="A877" s="251" t="s">
        <v>3343</v>
      </c>
      <c r="B877" s="250" t="s">
        <v>3344</v>
      </c>
    </row>
    <row r="878" spans="1:2">
      <c r="A878" s="246" t="s">
        <v>148</v>
      </c>
      <c r="B878" s="247" t="s">
        <v>1940</v>
      </c>
    </row>
    <row r="879" spans="1:2">
      <c r="A879" s="251" t="s">
        <v>977</v>
      </c>
      <c r="B879" s="250" t="s">
        <v>978</v>
      </c>
    </row>
    <row r="880" spans="1:2">
      <c r="A880" s="251" t="s">
        <v>979</v>
      </c>
      <c r="B880" s="250" t="s">
        <v>980</v>
      </c>
    </row>
    <row r="881" spans="1:2">
      <c r="A881" s="251" t="s">
        <v>981</v>
      </c>
      <c r="B881" s="250" t="s">
        <v>982</v>
      </c>
    </row>
    <row r="882" spans="1:2">
      <c r="A882" s="251" t="s">
        <v>1752</v>
      </c>
      <c r="B882" s="250" t="s">
        <v>1753</v>
      </c>
    </row>
    <row r="883" spans="1:2">
      <c r="A883" s="251" t="s">
        <v>1754</v>
      </c>
      <c r="B883" s="250" t="s">
        <v>1755</v>
      </c>
    </row>
    <row r="884" spans="1:2">
      <c r="A884" s="251" t="s">
        <v>3345</v>
      </c>
      <c r="B884" s="250" t="s">
        <v>3346</v>
      </c>
    </row>
    <row r="885" spans="1:2">
      <c r="A885" s="246" t="s">
        <v>1942</v>
      </c>
      <c r="B885" s="247" t="s">
        <v>2117</v>
      </c>
    </row>
    <row r="886" spans="1:2">
      <c r="A886" s="251" t="s">
        <v>3347</v>
      </c>
      <c r="B886" s="250" t="s">
        <v>3348</v>
      </c>
    </row>
    <row r="887" spans="1:2">
      <c r="A887" s="251" t="s">
        <v>3349</v>
      </c>
      <c r="B887" s="250" t="s">
        <v>3350</v>
      </c>
    </row>
    <row r="888" spans="1:2">
      <c r="A888" s="251" t="s">
        <v>3351</v>
      </c>
      <c r="B888" s="250" t="s">
        <v>3352</v>
      </c>
    </row>
    <row r="889" spans="1:2">
      <c r="A889" s="251" t="s">
        <v>3353</v>
      </c>
      <c r="B889" s="250" t="s">
        <v>3352</v>
      </c>
    </row>
    <row r="890" spans="1:2">
      <c r="A890" s="251" t="s">
        <v>3354</v>
      </c>
      <c r="B890" s="250" t="s">
        <v>3355</v>
      </c>
    </row>
    <row r="891" spans="1:2">
      <c r="A891" s="251" t="s">
        <v>3356</v>
      </c>
      <c r="B891" s="250" t="s">
        <v>3357</v>
      </c>
    </row>
    <row r="892" spans="1:2">
      <c r="A892" s="246" t="s">
        <v>258</v>
      </c>
      <c r="B892" s="247" t="s">
        <v>1847</v>
      </c>
    </row>
    <row r="893" spans="1:2">
      <c r="A893" s="251" t="s">
        <v>983</v>
      </c>
      <c r="B893" s="250" t="s">
        <v>339</v>
      </c>
    </row>
    <row r="894" spans="1:2">
      <c r="A894" s="251" t="s">
        <v>984</v>
      </c>
      <c r="B894" s="250" t="s">
        <v>340</v>
      </c>
    </row>
    <row r="895" spans="1:2">
      <c r="A895" s="251" t="s">
        <v>985</v>
      </c>
      <c r="B895" s="250" t="s">
        <v>986</v>
      </c>
    </row>
    <row r="896" spans="1:2">
      <c r="A896" s="251" t="s">
        <v>987</v>
      </c>
      <c r="B896" s="250" t="s">
        <v>988</v>
      </c>
    </row>
    <row r="897" spans="1:2">
      <c r="A897" s="251" t="s">
        <v>1756</v>
      </c>
      <c r="B897" s="250" t="s">
        <v>1309</v>
      </c>
    </row>
    <row r="898" spans="1:2">
      <c r="A898" s="251" t="s">
        <v>3358</v>
      </c>
      <c r="B898" s="250" t="s">
        <v>3359</v>
      </c>
    </row>
    <row r="899" spans="1:2">
      <c r="A899" s="251" t="s">
        <v>3360</v>
      </c>
      <c r="B899" s="250" t="s">
        <v>1316</v>
      </c>
    </row>
    <row r="900" spans="1:2">
      <c r="A900" s="246" t="s">
        <v>779</v>
      </c>
      <c r="B900" s="247" t="s">
        <v>780</v>
      </c>
    </row>
    <row r="901" spans="1:2">
      <c r="A901" s="251" t="s">
        <v>989</v>
      </c>
      <c r="B901" s="250" t="s">
        <v>990</v>
      </c>
    </row>
    <row r="902" spans="1:2">
      <c r="A902" s="251" t="s">
        <v>991</v>
      </c>
      <c r="B902" s="250" t="s">
        <v>992</v>
      </c>
    </row>
    <row r="903" spans="1:2">
      <c r="A903" s="251" t="s">
        <v>993</v>
      </c>
      <c r="B903" s="250" t="s">
        <v>994</v>
      </c>
    </row>
    <row r="904" spans="1:2">
      <c r="A904" s="251" t="s">
        <v>3361</v>
      </c>
      <c r="B904" s="250" t="s">
        <v>3362</v>
      </c>
    </row>
    <row r="905" spans="1:2">
      <c r="A905" s="251" t="s">
        <v>3363</v>
      </c>
      <c r="B905" s="250" t="s">
        <v>3364</v>
      </c>
    </row>
    <row r="906" spans="1:2">
      <c r="A906" s="246" t="s">
        <v>781</v>
      </c>
      <c r="B906" s="247" t="s">
        <v>782</v>
      </c>
    </row>
    <row r="907" spans="1:2">
      <c r="A907" s="251" t="s">
        <v>995</v>
      </c>
      <c r="B907" s="250" t="s">
        <v>996</v>
      </c>
    </row>
    <row r="908" spans="1:2">
      <c r="A908" s="245" t="s">
        <v>630</v>
      </c>
      <c r="B908" s="249" t="s">
        <v>1054</v>
      </c>
    </row>
    <row r="909" spans="1:2">
      <c r="A909" s="246" t="s">
        <v>789</v>
      </c>
      <c r="B909" s="247" t="s">
        <v>1941</v>
      </c>
    </row>
    <row r="910" spans="1:2">
      <c r="A910" s="251" t="s">
        <v>997</v>
      </c>
      <c r="B910" s="250" t="s">
        <v>998</v>
      </c>
    </row>
    <row r="911" spans="1:2">
      <c r="A911" s="251" t="s">
        <v>999</v>
      </c>
      <c r="B911" s="250" t="s">
        <v>1000</v>
      </c>
    </row>
    <row r="912" spans="1:2">
      <c r="A912" s="251" t="s">
        <v>1001</v>
      </c>
      <c r="B912" s="250" t="s">
        <v>1002</v>
      </c>
    </row>
    <row r="913" spans="1:2">
      <c r="A913" s="251" t="s">
        <v>1003</v>
      </c>
      <c r="B913" s="250" t="s">
        <v>1004</v>
      </c>
    </row>
    <row r="914" spans="1:2">
      <c r="A914" s="251" t="s">
        <v>1005</v>
      </c>
      <c r="B914" s="250" t="s">
        <v>1006</v>
      </c>
    </row>
    <row r="915" spans="1:2">
      <c r="A915" s="251" t="s">
        <v>1007</v>
      </c>
      <c r="B915" s="250" t="s">
        <v>1008</v>
      </c>
    </row>
    <row r="916" spans="1:2">
      <c r="A916" s="251" t="s">
        <v>1009</v>
      </c>
      <c r="B916" s="250" t="s">
        <v>1010</v>
      </c>
    </row>
    <row r="917" spans="1:2">
      <c r="A917" s="251" t="s">
        <v>1011</v>
      </c>
      <c r="B917" s="250" t="s">
        <v>1012</v>
      </c>
    </row>
    <row r="918" spans="1:2">
      <c r="A918" s="251" t="s">
        <v>1013</v>
      </c>
      <c r="B918" s="250" t="s">
        <v>1014</v>
      </c>
    </row>
    <row r="919" spans="1:2">
      <c r="A919" s="251" t="s">
        <v>1015</v>
      </c>
      <c r="B919" s="250" t="s">
        <v>1016</v>
      </c>
    </row>
    <row r="920" spans="1:2">
      <c r="A920" s="251" t="s">
        <v>1017</v>
      </c>
      <c r="B920" s="250" t="s">
        <v>1018</v>
      </c>
    </row>
    <row r="921" spans="1:2">
      <c r="A921" s="251" t="s">
        <v>1019</v>
      </c>
      <c r="B921" s="250" t="s">
        <v>1020</v>
      </c>
    </row>
    <row r="922" spans="1:2">
      <c r="A922" s="251" t="s">
        <v>1021</v>
      </c>
      <c r="B922" s="250" t="s">
        <v>1022</v>
      </c>
    </row>
    <row r="923" spans="1:2">
      <c r="A923" s="251" t="s">
        <v>1023</v>
      </c>
      <c r="B923" s="250" t="s">
        <v>1024</v>
      </c>
    </row>
    <row r="924" spans="1:2">
      <c r="A924" s="251" t="s">
        <v>1025</v>
      </c>
      <c r="B924" s="250" t="s">
        <v>1026</v>
      </c>
    </row>
    <row r="925" spans="1:2">
      <c r="A925" s="251" t="s">
        <v>1027</v>
      </c>
      <c r="B925" s="250" t="s">
        <v>1028</v>
      </c>
    </row>
    <row r="926" spans="1:2">
      <c r="A926" s="251" t="s">
        <v>1029</v>
      </c>
      <c r="B926" s="250" t="s">
        <v>1030</v>
      </c>
    </row>
    <row r="927" spans="1:2">
      <c r="A927" s="251" t="s">
        <v>1031</v>
      </c>
      <c r="B927" s="250" t="s">
        <v>1032</v>
      </c>
    </row>
    <row r="928" spans="1:2">
      <c r="A928" s="251" t="s">
        <v>1033</v>
      </c>
      <c r="B928" s="250" t="s">
        <v>1034</v>
      </c>
    </row>
    <row r="929" spans="1:2">
      <c r="A929" s="251" t="s">
        <v>1035</v>
      </c>
      <c r="B929" s="250" t="s">
        <v>1036</v>
      </c>
    </row>
    <row r="930" spans="1:2">
      <c r="A930" s="251" t="s">
        <v>1037</v>
      </c>
      <c r="B930" s="250" t="s">
        <v>1038</v>
      </c>
    </row>
    <row r="931" spans="1:2">
      <c r="A931" s="251" t="s">
        <v>1039</v>
      </c>
      <c r="B931" s="250" t="s">
        <v>1040</v>
      </c>
    </row>
    <row r="932" spans="1:2">
      <c r="A932" s="251" t="s">
        <v>1041</v>
      </c>
      <c r="B932" s="250" t="s">
        <v>1042</v>
      </c>
    </row>
    <row r="933" spans="1:2">
      <c r="A933" s="251" t="s">
        <v>1043</v>
      </c>
      <c r="B933" s="250" t="s">
        <v>1044</v>
      </c>
    </row>
    <row r="934" spans="1:2">
      <c r="A934" s="251" t="s">
        <v>1757</v>
      </c>
      <c r="B934" s="250" t="s">
        <v>1758</v>
      </c>
    </row>
    <row r="935" spans="1:2">
      <c r="A935" s="251" t="s">
        <v>1759</v>
      </c>
      <c r="B935" s="250" t="s">
        <v>1760</v>
      </c>
    </row>
    <row r="936" spans="1:2">
      <c r="A936" s="251" t="s">
        <v>1761</v>
      </c>
      <c r="B936" s="250" t="s">
        <v>1762</v>
      </c>
    </row>
    <row r="937" spans="1:2">
      <c r="A937" s="251" t="s">
        <v>1763</v>
      </c>
      <c r="B937" s="250" t="s">
        <v>1764</v>
      </c>
    </row>
    <row r="938" spans="1:2">
      <c r="A938" s="251" t="s">
        <v>1765</v>
      </c>
      <c r="B938" s="250" t="s">
        <v>1766</v>
      </c>
    </row>
    <row r="939" spans="1:2">
      <c r="A939" s="251" t="s">
        <v>1767</v>
      </c>
      <c r="B939" s="250" t="s">
        <v>1768</v>
      </c>
    </row>
    <row r="940" spans="1:2">
      <c r="A940" s="251" t="s">
        <v>1769</v>
      </c>
      <c r="B940" s="250" t="s">
        <v>1770</v>
      </c>
    </row>
    <row r="941" spans="1:2">
      <c r="A941" s="251" t="s">
        <v>1771</v>
      </c>
      <c r="B941" s="250" t="s">
        <v>1772</v>
      </c>
    </row>
    <row r="942" spans="1:2">
      <c r="A942" s="251" t="s">
        <v>1773</v>
      </c>
      <c r="B942" s="250" t="s">
        <v>1774</v>
      </c>
    </row>
    <row r="943" spans="1:2">
      <c r="A943" s="251" t="s">
        <v>1775</v>
      </c>
      <c r="B943" s="250" t="s">
        <v>1776</v>
      </c>
    </row>
    <row r="944" spans="1:2">
      <c r="A944" s="251" t="s">
        <v>1777</v>
      </c>
      <c r="B944" s="250" t="s">
        <v>1778</v>
      </c>
    </row>
    <row r="945" spans="1:2">
      <c r="A945" s="251" t="s">
        <v>1779</v>
      </c>
      <c r="B945" s="250" t="s">
        <v>1780</v>
      </c>
    </row>
    <row r="946" spans="1:2">
      <c r="A946" s="251" t="s">
        <v>1781</v>
      </c>
      <c r="B946" s="250" t="s">
        <v>1782</v>
      </c>
    </row>
    <row r="947" spans="1:2">
      <c r="A947" s="251" t="s">
        <v>1783</v>
      </c>
      <c r="B947" s="250" t="s">
        <v>1784</v>
      </c>
    </row>
    <row r="948" spans="1:2">
      <c r="A948" s="251" t="s">
        <v>1785</v>
      </c>
      <c r="B948" s="250" t="s">
        <v>1786</v>
      </c>
    </row>
    <row r="949" spans="1:2">
      <c r="A949" s="251" t="s">
        <v>1787</v>
      </c>
      <c r="B949" s="250" t="s">
        <v>1788</v>
      </c>
    </row>
    <row r="950" spans="1:2">
      <c r="A950" s="251" t="s">
        <v>1789</v>
      </c>
      <c r="B950" s="250" t="s">
        <v>1790</v>
      </c>
    </row>
    <row r="951" spans="1:2">
      <c r="A951" s="251" t="s">
        <v>1791</v>
      </c>
      <c r="B951" s="250" t="s">
        <v>1792</v>
      </c>
    </row>
    <row r="952" spans="1:2">
      <c r="A952" s="251" t="s">
        <v>1793</v>
      </c>
      <c r="B952" s="250" t="s">
        <v>1794</v>
      </c>
    </row>
    <row r="953" spans="1:2">
      <c r="A953" s="251" t="s">
        <v>1795</v>
      </c>
      <c r="B953" s="250" t="s">
        <v>1796</v>
      </c>
    </row>
    <row r="954" spans="1:2">
      <c r="A954" s="251" t="s">
        <v>1797</v>
      </c>
      <c r="B954" s="250" t="s">
        <v>1798</v>
      </c>
    </row>
    <row r="955" spans="1:2">
      <c r="A955" s="251" t="s">
        <v>1799</v>
      </c>
      <c r="B955" s="250" t="s">
        <v>1800</v>
      </c>
    </row>
    <row r="956" spans="1:2">
      <c r="A956" s="251" t="s">
        <v>1801</v>
      </c>
      <c r="B956" s="250" t="s">
        <v>1802</v>
      </c>
    </row>
    <row r="957" spans="1:2">
      <c r="A957" s="251" t="s">
        <v>1803</v>
      </c>
      <c r="B957" s="250" t="s">
        <v>1804</v>
      </c>
    </row>
    <row r="958" spans="1:2">
      <c r="A958" s="251" t="s">
        <v>1805</v>
      </c>
      <c r="B958" s="250" t="s">
        <v>1806</v>
      </c>
    </row>
    <row r="959" spans="1:2">
      <c r="A959" s="251" t="s">
        <v>1807</v>
      </c>
      <c r="B959" s="250" t="s">
        <v>1808</v>
      </c>
    </row>
    <row r="960" spans="1:2">
      <c r="A960" s="251" t="s">
        <v>3365</v>
      </c>
      <c r="B960" s="250" t="s">
        <v>3366</v>
      </c>
    </row>
    <row r="961" spans="1:2">
      <c r="A961" s="251" t="s">
        <v>3367</v>
      </c>
      <c r="B961" s="250" t="s">
        <v>3368</v>
      </c>
    </row>
    <row r="962" spans="1:2">
      <c r="A962" s="251" t="s">
        <v>3369</v>
      </c>
      <c r="B962" s="250" t="s">
        <v>3370</v>
      </c>
    </row>
    <row r="963" spans="1:2">
      <c r="A963" s="251" t="s">
        <v>3371</v>
      </c>
      <c r="B963" s="250" t="s">
        <v>3372</v>
      </c>
    </row>
    <row r="964" spans="1:2">
      <c r="A964" s="251" t="s">
        <v>3373</v>
      </c>
      <c r="B964" s="250" t="s">
        <v>3374</v>
      </c>
    </row>
    <row r="965" spans="1:2">
      <c r="A965" s="251" t="s">
        <v>3375</v>
      </c>
      <c r="B965" s="250" t="s">
        <v>3376</v>
      </c>
    </row>
    <row r="966" spans="1:2">
      <c r="A966" s="251" t="s">
        <v>3377</v>
      </c>
      <c r="B966" s="250" t="s">
        <v>3378</v>
      </c>
    </row>
    <row r="967" spans="1:2">
      <c r="A967" s="251" t="s">
        <v>3379</v>
      </c>
      <c r="B967" s="250" t="s">
        <v>3380</v>
      </c>
    </row>
    <row r="968" spans="1:2">
      <c r="A968" s="251" t="s">
        <v>3381</v>
      </c>
      <c r="B968" s="250" t="s">
        <v>3382</v>
      </c>
    </row>
    <row r="969" spans="1:2">
      <c r="A969" s="251" t="s">
        <v>3383</v>
      </c>
      <c r="B969" s="250" t="s">
        <v>3384</v>
      </c>
    </row>
    <row r="970" spans="1:2">
      <c r="A970" s="251" t="s">
        <v>3385</v>
      </c>
      <c r="B970" s="250" t="s">
        <v>3386</v>
      </c>
    </row>
    <row r="971" spans="1:2">
      <c r="A971" s="251" t="s">
        <v>3387</v>
      </c>
      <c r="B971" s="250" t="s">
        <v>3388</v>
      </c>
    </row>
    <row r="972" spans="1:2">
      <c r="A972" s="251" t="s">
        <v>3389</v>
      </c>
      <c r="B972" s="250" t="s">
        <v>3390</v>
      </c>
    </row>
    <row r="973" spans="1:2">
      <c r="A973" s="251" t="s">
        <v>3391</v>
      </c>
      <c r="B973" s="250" t="s">
        <v>3392</v>
      </c>
    </row>
    <row r="974" spans="1:2">
      <c r="A974" s="251" t="s">
        <v>3393</v>
      </c>
      <c r="B974" s="250" t="s">
        <v>3394</v>
      </c>
    </row>
    <row r="975" spans="1:2">
      <c r="A975" s="251" t="s">
        <v>3395</v>
      </c>
      <c r="B975" s="250" t="s">
        <v>3396</v>
      </c>
    </row>
    <row r="976" spans="1:2">
      <c r="A976" s="251" t="s">
        <v>3397</v>
      </c>
      <c r="B976" s="250" t="s">
        <v>3398</v>
      </c>
    </row>
    <row r="977" spans="1:2">
      <c r="A977" s="251" t="s">
        <v>3399</v>
      </c>
      <c r="B977" s="250" t="s">
        <v>3400</v>
      </c>
    </row>
    <row r="978" spans="1:2">
      <c r="A978" s="251" t="s">
        <v>3401</v>
      </c>
      <c r="B978" s="250" t="s">
        <v>3402</v>
      </c>
    </row>
    <row r="979" spans="1:2">
      <c r="A979" s="251" t="s">
        <v>3403</v>
      </c>
      <c r="B979" s="250" t="s">
        <v>3404</v>
      </c>
    </row>
    <row r="980" spans="1:2">
      <c r="A980" s="251" t="s">
        <v>3405</v>
      </c>
      <c r="B980" s="250" t="s">
        <v>3406</v>
      </c>
    </row>
    <row r="981" spans="1:2">
      <c r="A981" s="251" t="s">
        <v>3407</v>
      </c>
      <c r="B981" s="250" t="s">
        <v>3408</v>
      </c>
    </row>
    <row r="982" spans="1:2">
      <c r="A982" s="251" t="s">
        <v>3409</v>
      </c>
      <c r="B982" s="250" t="s">
        <v>3408</v>
      </c>
    </row>
    <row r="983" spans="1:2">
      <c r="A983" s="251" t="s">
        <v>3410</v>
      </c>
      <c r="B983" s="250" t="s">
        <v>3411</v>
      </c>
    </row>
    <row r="984" spans="1:2">
      <c r="A984" s="251" t="s">
        <v>3412</v>
      </c>
      <c r="B984" s="250" t="s">
        <v>3413</v>
      </c>
    </row>
    <row r="985" spans="1:2">
      <c r="A985" s="251" t="s">
        <v>3414</v>
      </c>
      <c r="B985" s="250" t="s">
        <v>3415</v>
      </c>
    </row>
    <row r="986" spans="1:2">
      <c r="A986" s="251" t="s">
        <v>3416</v>
      </c>
      <c r="B986" s="250" t="s">
        <v>3417</v>
      </c>
    </row>
    <row r="987" spans="1:2">
      <c r="A987" s="251" t="s">
        <v>3418</v>
      </c>
      <c r="B987" s="250" t="s">
        <v>3419</v>
      </c>
    </row>
    <row r="988" spans="1:2">
      <c r="A988" s="251" t="s">
        <v>3420</v>
      </c>
      <c r="B988" s="250" t="s">
        <v>3421</v>
      </c>
    </row>
    <row r="989" spans="1:2">
      <c r="A989" s="251" t="s">
        <v>3422</v>
      </c>
      <c r="B989" s="250" t="s">
        <v>3423</v>
      </c>
    </row>
    <row r="990" spans="1:2">
      <c r="A990" s="251" t="s">
        <v>3424</v>
      </c>
      <c r="B990" s="250" t="s">
        <v>3425</v>
      </c>
    </row>
    <row r="991" spans="1:2">
      <c r="A991" s="251" t="s">
        <v>3426</v>
      </c>
      <c r="B991" s="250" t="s">
        <v>3427</v>
      </c>
    </row>
    <row r="992" spans="1:2">
      <c r="A992" s="251" t="s">
        <v>3428</v>
      </c>
      <c r="B992" s="250" t="s">
        <v>3429</v>
      </c>
    </row>
    <row r="993" spans="1:2">
      <c r="A993" s="251" t="s">
        <v>3430</v>
      </c>
      <c r="B993" s="250" t="s">
        <v>3431</v>
      </c>
    </row>
    <row r="994" spans="1:2">
      <c r="A994" s="251" t="s">
        <v>3432</v>
      </c>
      <c r="B994" s="250" t="s">
        <v>3433</v>
      </c>
    </row>
    <row r="995" spans="1:2">
      <c r="A995" s="251" t="s">
        <v>3434</v>
      </c>
      <c r="B995" s="250" t="s">
        <v>3435</v>
      </c>
    </row>
    <row r="996" spans="1:2">
      <c r="A996" s="251" t="s">
        <v>3436</v>
      </c>
      <c r="B996" s="250" t="s">
        <v>3435</v>
      </c>
    </row>
    <row r="997" spans="1:2">
      <c r="A997" s="251" t="s">
        <v>3437</v>
      </c>
      <c r="B997" s="250" t="s">
        <v>3438</v>
      </c>
    </row>
    <row r="998" spans="1:2">
      <c r="A998" s="251" t="s">
        <v>3439</v>
      </c>
      <c r="B998" s="250" t="s">
        <v>3440</v>
      </c>
    </row>
    <row r="999" spans="1:2">
      <c r="A999" s="251" t="s">
        <v>3441</v>
      </c>
      <c r="B999" s="250" t="s">
        <v>3442</v>
      </c>
    </row>
    <row r="1000" spans="1:2">
      <c r="A1000" s="251" t="s">
        <v>3443</v>
      </c>
      <c r="B1000" s="250" t="s">
        <v>3444</v>
      </c>
    </row>
    <row r="1001" spans="1:2">
      <c r="A1001" s="251" t="s">
        <v>3445</v>
      </c>
      <c r="B1001" s="250" t="s">
        <v>1788</v>
      </c>
    </row>
    <row r="1002" spans="1:2">
      <c r="A1002" s="251" t="s">
        <v>3446</v>
      </c>
      <c r="B1002" s="250" t="s">
        <v>3447</v>
      </c>
    </row>
    <row r="1003" spans="1:2">
      <c r="A1003" s="251" t="s">
        <v>3448</v>
      </c>
      <c r="B1003" s="250" t="s">
        <v>3449</v>
      </c>
    </row>
    <row r="1004" spans="1:2">
      <c r="A1004" s="251" t="s">
        <v>3450</v>
      </c>
      <c r="B1004" s="250" t="s">
        <v>3451</v>
      </c>
    </row>
    <row r="1005" spans="1:2">
      <c r="A1005" s="251" t="s">
        <v>3452</v>
      </c>
      <c r="B1005" s="250" t="s">
        <v>3453</v>
      </c>
    </row>
    <row r="1006" spans="1:2">
      <c r="A1006" s="251" t="s">
        <v>3454</v>
      </c>
      <c r="B1006" s="250" t="s">
        <v>3455</v>
      </c>
    </row>
    <row r="1007" spans="1:2">
      <c r="A1007" s="251" t="s">
        <v>3456</v>
      </c>
      <c r="B1007" s="250" t="s">
        <v>3433</v>
      </c>
    </row>
    <row r="1008" spans="1:2">
      <c r="A1008" s="251" t="s">
        <v>3457</v>
      </c>
      <c r="B1008" s="250" t="s">
        <v>3453</v>
      </c>
    </row>
    <row r="1009" spans="1:2">
      <c r="A1009" s="251" t="s">
        <v>3458</v>
      </c>
      <c r="B1009" s="250" t="s">
        <v>3459</v>
      </c>
    </row>
    <row r="1010" spans="1:2">
      <c r="A1010" s="251" t="s">
        <v>3460</v>
      </c>
      <c r="B1010" s="250" t="s">
        <v>3461</v>
      </c>
    </row>
    <row r="1011" spans="1:2">
      <c r="A1011" s="251" t="s">
        <v>3462</v>
      </c>
      <c r="B1011" s="250" t="s">
        <v>3463</v>
      </c>
    </row>
    <row r="1012" spans="1:2">
      <c r="A1012" s="251" t="s">
        <v>3464</v>
      </c>
      <c r="B1012" s="250" t="s">
        <v>3465</v>
      </c>
    </row>
    <row r="1013" spans="1:2">
      <c r="A1013" s="251" t="s">
        <v>3466</v>
      </c>
      <c r="B1013" s="250" t="s">
        <v>3467</v>
      </c>
    </row>
    <row r="1014" spans="1:2">
      <c r="A1014" s="251" t="s">
        <v>3468</v>
      </c>
      <c r="B1014" s="250" t="s">
        <v>3469</v>
      </c>
    </row>
    <row r="1015" spans="1:2">
      <c r="A1015" s="251" t="s">
        <v>3470</v>
      </c>
      <c r="B1015" s="250" t="s">
        <v>3471</v>
      </c>
    </row>
    <row r="1016" spans="1:2">
      <c r="A1016" s="251" t="s">
        <v>3472</v>
      </c>
      <c r="B1016" s="250" t="s">
        <v>3473</v>
      </c>
    </row>
    <row r="1017" spans="1:2">
      <c r="A1017" s="246" t="s">
        <v>793</v>
      </c>
      <c r="B1017" s="247" t="s">
        <v>778</v>
      </c>
    </row>
    <row r="1018" spans="1:2">
      <c r="A1018" s="251" t="s">
        <v>1045</v>
      </c>
      <c r="B1018" s="250" t="s">
        <v>339</v>
      </c>
    </row>
    <row r="1019" spans="1:2">
      <c r="A1019" s="251" t="s">
        <v>1046</v>
      </c>
      <c r="B1019" s="250" t="s">
        <v>340</v>
      </c>
    </row>
    <row r="1020" spans="1:2">
      <c r="A1020" s="251" t="s">
        <v>1047</v>
      </c>
      <c r="B1020" s="250" t="s">
        <v>1048</v>
      </c>
    </row>
    <row r="1021" spans="1:2">
      <c r="A1021" s="251" t="s">
        <v>1049</v>
      </c>
      <c r="B1021" s="250" t="s">
        <v>986</v>
      </c>
    </row>
    <row r="1022" spans="1:2">
      <c r="A1022" s="251" t="s">
        <v>1809</v>
      </c>
      <c r="B1022" s="250" t="s">
        <v>1810</v>
      </c>
    </row>
    <row r="1023" spans="1:2">
      <c r="A1023" s="251" t="s">
        <v>1811</v>
      </c>
      <c r="B1023" s="250" t="s">
        <v>1309</v>
      </c>
    </row>
    <row r="1024" spans="1:2">
      <c r="A1024" s="251" t="s">
        <v>3474</v>
      </c>
      <c r="B1024" s="250" t="s">
        <v>3359</v>
      </c>
    </row>
    <row r="1025" spans="1:2">
      <c r="A1025" s="245" t="s">
        <v>1101</v>
      </c>
      <c r="B1025" s="249" t="s">
        <v>1102</v>
      </c>
    </row>
    <row r="1026" spans="1:2">
      <c r="A1026" s="246" t="s">
        <v>1129</v>
      </c>
      <c r="B1026" s="247" t="s">
        <v>1130</v>
      </c>
    </row>
    <row r="1027" spans="1:2">
      <c r="A1027" s="251" t="s">
        <v>1321</v>
      </c>
      <c r="B1027" s="250" t="s">
        <v>1322</v>
      </c>
    </row>
    <row r="1028" spans="1:2">
      <c r="A1028" s="246" t="s">
        <v>1131</v>
      </c>
      <c r="B1028" s="247" t="s">
        <v>1132</v>
      </c>
    </row>
    <row r="1029" spans="1:2">
      <c r="A1029" s="251" t="s">
        <v>1323</v>
      </c>
      <c r="B1029" s="250" t="s">
        <v>1324</v>
      </c>
    </row>
    <row r="1030" spans="1:2">
      <c r="A1030" s="251" t="s">
        <v>1325</v>
      </c>
      <c r="B1030" s="250" t="s">
        <v>1326</v>
      </c>
    </row>
    <row r="1031" spans="1:2">
      <c r="A1031" s="245" t="s">
        <v>1138</v>
      </c>
      <c r="B1031" s="249" t="s">
        <v>1139</v>
      </c>
    </row>
    <row r="1032" spans="1:2">
      <c r="A1032" s="246" t="s">
        <v>1146</v>
      </c>
      <c r="B1032" s="247" t="s">
        <v>1147</v>
      </c>
    </row>
    <row r="1033" spans="1:2">
      <c r="A1033" s="251" t="s">
        <v>1327</v>
      </c>
      <c r="B1033" s="250" t="s">
        <v>1328</v>
      </c>
    </row>
    <row r="1034" spans="1:2">
      <c r="A1034" s="251" t="s">
        <v>1329</v>
      </c>
      <c r="B1034" s="250" t="s">
        <v>1330</v>
      </c>
    </row>
    <row r="1035" spans="1:2">
      <c r="A1035" s="245" t="s">
        <v>1239</v>
      </c>
      <c r="B1035" s="249" t="s">
        <v>1240</v>
      </c>
    </row>
    <row r="1036" spans="1:2">
      <c r="A1036" s="246" t="s">
        <v>1265</v>
      </c>
      <c r="B1036" s="247" t="s">
        <v>780</v>
      </c>
    </row>
    <row r="1037" spans="1:2">
      <c r="A1037" s="251" t="s">
        <v>1331</v>
      </c>
      <c r="B1037" s="250" t="s">
        <v>1332</v>
      </c>
    </row>
    <row r="1038" spans="1:2">
      <c r="A1038" s="251" t="s">
        <v>1333</v>
      </c>
      <c r="B1038" s="250" t="s">
        <v>1334</v>
      </c>
    </row>
    <row r="1039" spans="1:2">
      <c r="A1039" s="251" t="s">
        <v>1335</v>
      </c>
      <c r="B1039" s="250" t="s">
        <v>1336</v>
      </c>
    </row>
    <row r="1040" spans="1:2">
      <c r="A1040" s="251" t="s">
        <v>1337</v>
      </c>
      <c r="B1040" s="250" t="s">
        <v>1338</v>
      </c>
    </row>
    <row r="1041" spans="1:2">
      <c r="A1041" s="251" t="s">
        <v>1339</v>
      </c>
      <c r="B1041" s="250" t="s">
        <v>1340</v>
      </c>
    </row>
    <row r="1042" spans="1:2">
      <c r="A1042" s="251" t="s">
        <v>1341</v>
      </c>
      <c r="B1042" s="250" t="s">
        <v>1342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mpogoreli21</cp:lastModifiedBy>
  <cp:lastPrinted>2021-12-20T08:56:43Z</cp:lastPrinted>
  <dcterms:created xsi:type="dcterms:W3CDTF">2018-09-10T07:36:17Z</dcterms:created>
  <dcterms:modified xsi:type="dcterms:W3CDTF">2022-12-15T12:18:45Z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